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19368" windowHeight="9072" activeTab="1"/>
  </bookViews>
  <sheets>
    <sheet name="Summary" sheetId="1" r:id="rId1"/>
    <sheet name="Price Calculator 89mm Excel Ver" sheetId="2" r:id="rId2"/>
  </sheets>
  <calcPr calcId="162913" forceFullCalc="1"/>
</workbook>
</file>

<file path=xl/calcChain.xml><?xml version="1.0" encoding="utf-8"?>
<calcChain xmlns="http://schemas.openxmlformats.org/spreadsheetml/2006/main">
  <c r="AZ63" i="2" l="1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A4" i="2"/>
</calcChain>
</file>

<file path=xl/sharedStrings.xml><?xml version="1.0" encoding="utf-8"?>
<sst xmlns="http://schemas.openxmlformats.org/spreadsheetml/2006/main" count="51" uniqueCount="28">
  <si>
    <t>DISCOUNTED PRICE TABLES 2026</t>
  </si>
  <si>
    <t>Account Code:</t>
  </si>
  <si>
    <t>EASY02</t>
  </si>
  <si>
    <t>Product</t>
  </si>
  <si>
    <t>Discount %</t>
  </si>
  <si>
    <t>Excel Vertical - AA</t>
  </si>
  <si>
    <t>5%</t>
  </si>
  <si>
    <t>Excel Vertical - A</t>
  </si>
  <si>
    <t>Excel Vertical - B</t>
  </si>
  <si>
    <t>Adjust the values above to update the suggested sell price tables.</t>
  </si>
  <si>
    <t>DISCOUNTED COST</t>
  </si>
  <si>
    <t>SUGGESTED SELL PRICE</t>
  </si>
  <si>
    <t>89mm Excel Vertical - 89mm Excel Vertical - PRICE RANGE AA</t>
  </si>
  <si>
    <t>Scope</t>
  </si>
  <si>
    <t>WIDTH</t>
  </si>
  <si>
    <t>(mm)</t>
  </si>
  <si>
    <t>DROP</t>
  </si>
  <si>
    <t>89mm Excel Vertical - 89mm Excel Vertical - PRICE RANGE A</t>
  </si>
  <si>
    <t>Amaris, Cameo, Carlo, Cleo, Dalia, Fiesta, Java, Kira, Malimo, Mia, Monarch, Opus, Rossini, Splash,Verona, Zara</t>
  </si>
  <si>
    <t>89mm Excel Vertical - 89mm Excel Vertical - PRICE RANGE B</t>
  </si>
  <si>
    <t>Como, Fitz, Lana, Lucca, Senna</t>
  </si>
  <si>
    <t>Mark Up:</t>
  </si>
  <si>
    <t>VAT:</t>
  </si>
  <si>
    <t>Additional Charge:</t>
  </si>
  <si>
    <t>20.00%</t>
  </si>
  <si>
    <t>20%</t>
  </si>
  <si>
    <t>£ 0</t>
  </si>
  <si>
    <t>89mm Excel Vertical - 89mm Excel Vertical - PRICE RANGE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</si>
</sst>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b/>
      <sz val="24"/>
      <color rgb="FF000000"/>
      <name val="Calibri"/>
    </font>
    <font>
      <b/>
      <sz val="14"/>
      <color rgb="FFFFFFFF"/>
      <name val="Calibri"/>
    </font>
    <font>
      <b/>
      <sz val="16"/>
      <color rgb="FFFFFFFF"/>
      <name val="Calibri"/>
    </font>
    <font>
      <sz val="14"/>
      <color rgb="FFFFFFFF"/>
      <name val="Calibri"/>
    </font>
    <font>
      <b/>
      <sz val="14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EBEBE"/>
        <bgColor rgb="FFBEBEBE"/>
      </patternFill>
    </fill>
    <fill>
      <patternFill patternType="solid">
        <fgColor rgb="FF3C64B1"/>
        <bgColor rgb="FF3C64B1"/>
      </patternFill>
    </fill>
    <fill>
      <patternFill patternType="solid">
        <fgColor rgb="FFADC0E3"/>
        <bgColor rgb="FFADC0E3"/>
      </patternFill>
    </fill>
    <fill>
      <patternFill patternType="solid">
        <fgColor rgb="FF808080"/>
        <bgColor rgb="FF8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 textRotation="90" wrapText="1"/>
    </xf>
    <xf numFmtId="0" fontId="2" fillId="4" borderId="0" xfId="0" applyFont="1" applyFill="1" applyAlignment="1">
      <alignment vertical="center" textRotation="90" wrapText="1"/>
    </xf>
    <xf numFmtId="0" fontId="0" fillId="5" borderId="0" xfId="0" applyFill="1" applyAlignment="1">
      <alignment wrapText="1"/>
    </xf>
    <xf numFmtId="0" fontId="5" fillId="2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9" fontId="5" fillId="6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textRotation="90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vertical="center" textRotation="90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vertical="center" textRotation="90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defaultRowHeight="14.4" x14ac:dyDescent="0.3"/>
  <cols>
    <col min="1" max="1" width="30" customWidth="1"/>
    <col min="2" max="2" width="15" customWidth="1"/>
  </cols>
  <sheetData>
    <row r="1" spans="1:2" ht="31.2" x14ac:dyDescent="0.6">
      <c r="A1" s="1" t="s">
        <v>0</v>
      </c>
    </row>
    <row r="2" spans="1:2" ht="18" x14ac:dyDescent="0.35">
      <c r="A2" s="2" t="s">
        <v>1</v>
      </c>
      <c r="B2" s="3" t="s">
        <v>2</v>
      </c>
    </row>
    <row r="4" spans="1:2" ht="18" x14ac:dyDescent="0.35">
      <c r="A4" s="2" t="s">
        <v>3</v>
      </c>
      <c r="B4" s="2" t="s">
        <v>4</v>
      </c>
    </row>
    <row r="5" spans="1:2" x14ac:dyDescent="0.3">
      <c r="A5" s="3" t="s">
        <v>5</v>
      </c>
      <c r="B5" s="3" t="s">
        <v>6</v>
      </c>
    </row>
    <row r="6" spans="1:2" x14ac:dyDescent="0.3">
      <c r="A6" s="3" t="s">
        <v>7</v>
      </c>
      <c r="B6" s="3" t="s">
        <v>6</v>
      </c>
    </row>
    <row r="7" spans="1:2" x14ac:dyDescent="0.3">
      <c r="A7" s="3" t="s">
        <v>8</v>
      </c>
      <c r="B7" s="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1"/>
  <sheetViews>
    <sheetView tabSelected="1" topLeftCell="A31" workbookViewId="0">
      <selection activeCell="O51" sqref="O51"/>
    </sheetView>
  </sheetViews>
  <sheetFormatPr defaultRowHeight="14.4" x14ac:dyDescent="0.3"/>
  <cols>
    <col min="2" max="2" width="4" customWidth="1"/>
    <col min="26" max="26" width="28.21875" bestFit="1" customWidth="1"/>
    <col min="27" max="27" width="10.33203125" bestFit="1" customWidth="1"/>
    <col min="30" max="31" width="4" customWidth="1"/>
  </cols>
  <sheetData>
    <row r="1" spans="1:56" x14ac:dyDescent="0.3">
      <c r="A1" s="4"/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6" x14ac:dyDescent="0.3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x14ac:dyDescent="0.3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</row>
    <row r="4" spans="1:56" ht="18" x14ac:dyDescent="0.35">
      <c r="A4" s="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8" t="s">
        <v>1</v>
      </c>
      <c r="AA4" s="9" t="str">
        <f>Summary!$B$2</f>
        <v>EASY02</v>
      </c>
      <c r="AB4" s="4"/>
      <c r="AC4" s="4"/>
      <c r="AD4" s="4"/>
      <c r="AE4" s="5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</row>
    <row r="5" spans="1:56" ht="18" x14ac:dyDescent="0.35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8" t="s">
        <v>21</v>
      </c>
      <c r="AA5" s="10" t="s">
        <v>24</v>
      </c>
      <c r="AB5" s="4"/>
      <c r="AC5" s="4"/>
      <c r="AD5" s="4"/>
      <c r="AE5" s="5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</row>
    <row r="6" spans="1:56" ht="18" x14ac:dyDescent="0.35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8" t="s">
        <v>22</v>
      </c>
      <c r="AA6" s="10" t="s">
        <v>25</v>
      </c>
      <c r="AB6" s="4"/>
      <c r="AC6" s="4"/>
      <c r="AD6" s="4"/>
      <c r="AE6" s="5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</row>
    <row r="7" spans="1:56" ht="18" x14ac:dyDescent="0.35">
      <c r="A7" s="4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8" t="s">
        <v>23</v>
      </c>
      <c r="AA7" s="9" t="s">
        <v>26</v>
      </c>
      <c r="AB7" s="4"/>
      <c r="AC7" s="4"/>
      <c r="AD7" s="4"/>
      <c r="AE7" s="5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</row>
    <row r="8" spans="1:56" x14ac:dyDescent="0.3">
      <c r="A8" s="4"/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2" t="s">
        <v>9</v>
      </c>
      <c r="Y8" s="12"/>
      <c r="Z8" s="12"/>
      <c r="AA8" s="12"/>
      <c r="AB8" s="12"/>
      <c r="AC8" s="12"/>
      <c r="AD8" s="13"/>
      <c r="AE8" s="13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4"/>
      <c r="BB8" s="4"/>
      <c r="BC8" s="4"/>
      <c r="BD8" s="4"/>
    </row>
    <row r="9" spans="1:56" ht="21" x14ac:dyDescent="0.4">
      <c r="A9" s="4"/>
      <c r="B9" s="5"/>
      <c r="C9" s="14" t="s">
        <v>10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1"/>
      <c r="Y9" s="11"/>
      <c r="Z9" s="11"/>
      <c r="AA9" s="11"/>
      <c r="AB9" s="11"/>
      <c r="AC9" s="11"/>
      <c r="AD9" s="15"/>
      <c r="AE9" s="5"/>
      <c r="AF9" s="14" t="s">
        <v>11</v>
      </c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4"/>
      <c r="BB9" s="4"/>
      <c r="BC9" s="4"/>
      <c r="BD9" s="4"/>
    </row>
    <row r="10" spans="1:56" x14ac:dyDescent="0.3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5"/>
      <c r="AE10" s="5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</row>
    <row r="11" spans="1:56" ht="18" x14ac:dyDescent="0.35">
      <c r="A11" s="4"/>
      <c r="B11" s="5"/>
      <c r="C11" s="16" t="s">
        <v>12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1"/>
      <c r="Y11" s="11"/>
      <c r="Z11" s="11"/>
      <c r="AA11" s="11"/>
      <c r="AB11" s="11"/>
      <c r="AC11" s="11"/>
      <c r="AD11" s="15"/>
      <c r="AE11" s="5"/>
      <c r="AF11" s="16" t="s">
        <v>12</v>
      </c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4"/>
      <c r="BB11" s="4"/>
      <c r="BC11" s="4"/>
      <c r="BD11" s="4"/>
    </row>
    <row r="12" spans="1:56" ht="18" x14ac:dyDescent="0.35">
      <c r="A12" s="4"/>
      <c r="B12" s="5"/>
      <c r="C12" s="16" t="s">
        <v>13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1"/>
      <c r="Y12" s="11"/>
      <c r="Z12" s="11"/>
      <c r="AA12" s="11"/>
      <c r="AB12" s="11"/>
      <c r="AC12" s="11"/>
      <c r="AD12" s="15"/>
      <c r="AE12" s="5"/>
      <c r="AF12" s="16" t="s">
        <v>13</v>
      </c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4"/>
      <c r="BB12" s="4"/>
      <c r="BC12" s="4"/>
      <c r="BD12" s="4"/>
    </row>
    <row r="13" spans="1:56" ht="18" x14ac:dyDescent="0.35">
      <c r="A13" s="4"/>
      <c r="B13" s="5"/>
      <c r="C13" s="18" t="s">
        <v>14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1"/>
      <c r="Y13" s="11"/>
      <c r="Z13" s="11"/>
      <c r="AA13" s="11"/>
      <c r="AB13" s="11"/>
      <c r="AC13" s="11"/>
      <c r="AD13" s="15"/>
      <c r="AE13" s="5"/>
      <c r="AF13" s="18" t="s">
        <v>14</v>
      </c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4"/>
      <c r="BB13" s="4"/>
      <c r="BC13" s="4"/>
      <c r="BD13" s="4"/>
    </row>
    <row r="14" spans="1:56" x14ac:dyDescent="0.3">
      <c r="A14" s="4"/>
      <c r="B14" s="6"/>
      <c r="C14" s="7" t="s">
        <v>15</v>
      </c>
      <c r="D14" s="7">
        <v>610</v>
      </c>
      <c r="E14" s="7">
        <v>762</v>
      </c>
      <c r="F14" s="7">
        <v>914</v>
      </c>
      <c r="G14" s="7">
        <v>1067</v>
      </c>
      <c r="H14" s="7">
        <v>1219</v>
      </c>
      <c r="I14" s="7">
        <v>1372</v>
      </c>
      <c r="J14" s="7">
        <v>1524</v>
      </c>
      <c r="K14" s="7">
        <v>1676</v>
      </c>
      <c r="L14" s="7">
        <v>1829</v>
      </c>
      <c r="M14" s="7">
        <v>1981</v>
      </c>
      <c r="N14" s="7">
        <v>2134</v>
      </c>
      <c r="O14" s="7">
        <v>2438</v>
      </c>
      <c r="P14" s="7">
        <v>2913</v>
      </c>
      <c r="Q14" s="7">
        <v>3048</v>
      </c>
      <c r="R14" s="7">
        <v>3200</v>
      </c>
      <c r="S14" s="7">
        <v>3429</v>
      </c>
      <c r="T14" s="7">
        <v>3658</v>
      </c>
      <c r="U14" s="7">
        <v>4115</v>
      </c>
      <c r="V14" s="7">
        <v>4500</v>
      </c>
      <c r="W14" s="7">
        <v>5000</v>
      </c>
      <c r="X14" s="11"/>
      <c r="Y14" s="11"/>
      <c r="Z14" s="11"/>
      <c r="AA14" s="11"/>
      <c r="AB14" s="11"/>
      <c r="AC14" s="11"/>
      <c r="AD14" s="15"/>
      <c r="AE14" s="6"/>
      <c r="AF14" s="7" t="s">
        <v>15</v>
      </c>
      <c r="AG14" s="7">
        <v>610</v>
      </c>
      <c r="AH14" s="7">
        <v>762</v>
      </c>
      <c r="AI14" s="7">
        <v>914</v>
      </c>
      <c r="AJ14" s="7">
        <v>1067</v>
      </c>
      <c r="AK14" s="7">
        <v>1219</v>
      </c>
      <c r="AL14" s="7">
        <v>1372</v>
      </c>
      <c r="AM14" s="7">
        <v>1524</v>
      </c>
      <c r="AN14" s="7">
        <v>1676</v>
      </c>
      <c r="AO14" s="7">
        <v>1829</v>
      </c>
      <c r="AP14" s="7">
        <v>1981</v>
      </c>
      <c r="AQ14" s="7">
        <v>2134</v>
      </c>
      <c r="AR14" s="7">
        <v>2438</v>
      </c>
      <c r="AS14" s="7">
        <v>2913</v>
      </c>
      <c r="AT14" s="7">
        <v>3048</v>
      </c>
      <c r="AU14" s="7">
        <v>3200</v>
      </c>
      <c r="AV14" s="7">
        <v>3429</v>
      </c>
      <c r="AW14" s="7">
        <v>3658</v>
      </c>
      <c r="AX14" s="7">
        <v>4115</v>
      </c>
      <c r="AY14" s="7">
        <v>4500</v>
      </c>
      <c r="AZ14" s="7">
        <v>5000</v>
      </c>
      <c r="BA14" s="4"/>
      <c r="BB14" s="4"/>
      <c r="BC14" s="4"/>
      <c r="BD14" s="4"/>
    </row>
    <row r="15" spans="1:56" x14ac:dyDescent="0.3">
      <c r="A15" s="4"/>
      <c r="B15" s="19" t="s">
        <v>16</v>
      </c>
      <c r="C15" s="7">
        <v>610</v>
      </c>
      <c r="D15" s="4">
        <v>14.16</v>
      </c>
      <c r="E15" s="4">
        <v>15.14</v>
      </c>
      <c r="F15" s="4">
        <v>15.92</v>
      </c>
      <c r="G15" s="4">
        <v>16.62</v>
      </c>
      <c r="H15" s="4">
        <v>17.7</v>
      </c>
      <c r="I15" s="4">
        <v>18.309999999999999</v>
      </c>
      <c r="J15" s="4">
        <v>19.239999999999998</v>
      </c>
      <c r="K15" s="4">
        <v>20.12</v>
      </c>
      <c r="L15" s="4">
        <v>20.72</v>
      </c>
      <c r="M15" s="4">
        <v>21.48</v>
      </c>
      <c r="N15" s="4">
        <v>23</v>
      </c>
      <c r="O15" s="4">
        <v>24.4</v>
      </c>
      <c r="P15" s="4">
        <v>26.89</v>
      </c>
      <c r="Q15" s="4">
        <v>27.6</v>
      </c>
      <c r="R15" s="4">
        <v>28.22</v>
      </c>
      <c r="S15" s="4">
        <v>29.52</v>
      </c>
      <c r="T15" s="4">
        <v>30.54</v>
      </c>
      <c r="U15" s="4">
        <v>32.94</v>
      </c>
      <c r="V15" s="4">
        <v>36.22</v>
      </c>
      <c r="W15" s="4">
        <v>39.85</v>
      </c>
      <c r="X15" s="11"/>
      <c r="Y15" s="11"/>
      <c r="Z15" s="11"/>
      <c r="AA15" s="11"/>
      <c r="AB15" s="11"/>
      <c r="AC15" s="11"/>
      <c r="AD15" s="15"/>
      <c r="AE15" s="19" t="s">
        <v>16</v>
      </c>
      <c r="AF15" s="7">
        <v>610</v>
      </c>
      <c r="AG15" s="4" t="e">
        <f>ROUND(14.16*(1+AA6)*(1+AA5)+AA7,2)</f>
        <v>#VALUE!</v>
      </c>
      <c r="AH15" s="4" t="e">
        <f>ROUND(15.14*(1+AA6)*(1+AA5)+AA7,2)</f>
        <v>#VALUE!</v>
      </c>
      <c r="AI15" s="4" t="e">
        <f>ROUND(15.92*(1+AA6)*(1+AA5)+AA7,2)</f>
        <v>#VALUE!</v>
      </c>
      <c r="AJ15" s="4" t="e">
        <f>ROUND(16.62*(1+AA6)*(1+AA5)+AA7,2)</f>
        <v>#VALUE!</v>
      </c>
      <c r="AK15" s="4" t="e">
        <f>ROUND(17.7*(1+AA6)*(1+AA5)+AA7,2)</f>
        <v>#VALUE!</v>
      </c>
      <c r="AL15" s="4" t="e">
        <f>ROUND(18.31*(1+AA6)*(1+AA5)+AA7,2)</f>
        <v>#VALUE!</v>
      </c>
      <c r="AM15" s="4" t="e">
        <f>ROUND(19.24*(1+AA6)*(1+AA5)+AA7,2)</f>
        <v>#VALUE!</v>
      </c>
      <c r="AN15" s="4" t="e">
        <f>ROUND(20.12*(1+AA6)*(1+AA5)+AA7,2)</f>
        <v>#VALUE!</v>
      </c>
      <c r="AO15" s="4" t="e">
        <f>ROUND(20.72*(1+AA6)*(1+AA5)+AA7,2)</f>
        <v>#VALUE!</v>
      </c>
      <c r="AP15" s="4" t="e">
        <f>ROUND(21.48*(1+AA6)*(1+AA5)+AA7,2)</f>
        <v>#VALUE!</v>
      </c>
      <c r="AQ15" s="4" t="e">
        <f>ROUND(23*(1+AA6)*(1+AA5)+AA7,2)</f>
        <v>#VALUE!</v>
      </c>
      <c r="AR15" s="4" t="e">
        <f>ROUND(24.4*(1+AA6)*(1+AA5)+AA7,2)</f>
        <v>#VALUE!</v>
      </c>
      <c r="AS15" s="4" t="e">
        <f>ROUND(26.89*(1+AA6)*(1+AA5)+AA7,2)</f>
        <v>#VALUE!</v>
      </c>
      <c r="AT15" s="4" t="e">
        <f>ROUND(27.6*(1+AA6)*(1+AA5)+AA7,2)</f>
        <v>#VALUE!</v>
      </c>
      <c r="AU15" s="4" t="e">
        <f>ROUND(28.22*(1+AA6)*(1+AA5)+AA7,2)</f>
        <v>#VALUE!</v>
      </c>
      <c r="AV15" s="4" t="e">
        <f>ROUND(29.52*(1+AA6)*(1+AA5)+AA7,2)</f>
        <v>#VALUE!</v>
      </c>
      <c r="AW15" s="4" t="e">
        <f>ROUND(30.54*(1+AA6)*(1+AA5)+AA7,2)</f>
        <v>#VALUE!</v>
      </c>
      <c r="AX15" s="4" t="e">
        <f>ROUND(32.94*(1+AA6)*(1+AA5)+AA7,2)</f>
        <v>#VALUE!</v>
      </c>
      <c r="AY15" s="4" t="e">
        <f>ROUND(36.22*(1+AA6)*(1+AA5)+AA7,2)</f>
        <v>#VALUE!</v>
      </c>
      <c r="AZ15" s="4" t="e">
        <f>ROUND(39.85*(1+AA6)*(1+AA5)+AA7,2)</f>
        <v>#VALUE!</v>
      </c>
      <c r="BA15" s="4"/>
      <c r="BB15" s="4"/>
      <c r="BC15" s="4"/>
      <c r="BD15" s="4"/>
    </row>
    <row r="16" spans="1:56" x14ac:dyDescent="0.3">
      <c r="A16" s="4"/>
      <c r="B16" s="19"/>
      <c r="C16" s="7">
        <v>762</v>
      </c>
      <c r="D16" s="4">
        <v>14.77</v>
      </c>
      <c r="E16" s="4">
        <v>15.63</v>
      </c>
      <c r="F16" s="4">
        <v>16.440000000000001</v>
      </c>
      <c r="G16" s="4">
        <v>17.170000000000002</v>
      </c>
      <c r="H16" s="4">
        <v>18.37</v>
      </c>
      <c r="I16" s="4">
        <v>19.04</v>
      </c>
      <c r="J16" s="4">
        <v>20.059999999999999</v>
      </c>
      <c r="K16" s="4">
        <v>20.98</v>
      </c>
      <c r="L16" s="4">
        <v>21.62</v>
      </c>
      <c r="M16" s="4">
        <v>22.47</v>
      </c>
      <c r="N16" s="4">
        <v>24.05</v>
      </c>
      <c r="O16" s="4">
        <v>25.56</v>
      </c>
      <c r="P16" s="4">
        <v>28.29</v>
      </c>
      <c r="Q16" s="4">
        <v>29.05</v>
      </c>
      <c r="R16" s="4">
        <v>29.7</v>
      </c>
      <c r="S16" s="4">
        <v>31.16</v>
      </c>
      <c r="T16" s="4">
        <v>32.21</v>
      </c>
      <c r="U16" s="4">
        <v>35.06</v>
      </c>
      <c r="V16" s="4">
        <v>38.57</v>
      </c>
      <c r="W16" s="4">
        <v>42.44</v>
      </c>
      <c r="X16" s="11"/>
      <c r="Y16" s="11"/>
      <c r="Z16" s="11"/>
      <c r="AA16" s="11"/>
      <c r="AB16" s="11"/>
      <c r="AC16" s="11"/>
      <c r="AD16" s="15"/>
      <c r="AE16" s="19"/>
      <c r="AF16" s="7">
        <v>762</v>
      </c>
      <c r="AG16" s="4" t="e">
        <f>ROUND(14.77*(1+AA6)*(1+AA5)+AA7,2)</f>
        <v>#VALUE!</v>
      </c>
      <c r="AH16" s="4" t="e">
        <f>ROUND(15.63*(1+AA6)*(1+AA5)+AA7,2)</f>
        <v>#VALUE!</v>
      </c>
      <c r="AI16" s="4" t="e">
        <f>ROUND(16.44*(1+AA6)*(1+AA5)+AA7,2)</f>
        <v>#VALUE!</v>
      </c>
      <c r="AJ16" s="4" t="e">
        <f>ROUND(17.17*(1+AA6)*(1+AA5)+AA7,2)</f>
        <v>#VALUE!</v>
      </c>
      <c r="AK16" s="4" t="e">
        <f>ROUND(18.37*(1+AA6)*(1+AA5)+AA7,2)</f>
        <v>#VALUE!</v>
      </c>
      <c r="AL16" s="4" t="e">
        <f>ROUND(19.04*(1+AA6)*(1+AA5)+AA7,2)</f>
        <v>#VALUE!</v>
      </c>
      <c r="AM16" s="4" t="e">
        <f>ROUND(20.06*(1+AA6)*(1+AA5)+AA7,2)</f>
        <v>#VALUE!</v>
      </c>
      <c r="AN16" s="4" t="e">
        <f>ROUND(20.98*(1+AA6)*(1+AA5)+AA7,2)</f>
        <v>#VALUE!</v>
      </c>
      <c r="AO16" s="4" t="e">
        <f>ROUND(21.62*(1+AA6)*(1+AA5)+AA7,2)</f>
        <v>#VALUE!</v>
      </c>
      <c r="AP16" s="4" t="e">
        <f>ROUND(22.47*(1+AA6)*(1+AA5)+AA7,2)</f>
        <v>#VALUE!</v>
      </c>
      <c r="AQ16" s="4" t="e">
        <f>ROUND(24.05*(1+AA6)*(1+AA5)+AA7,2)</f>
        <v>#VALUE!</v>
      </c>
      <c r="AR16" s="4" t="e">
        <f>ROUND(25.56*(1+AA6)*(1+AA5)+AA7,2)</f>
        <v>#VALUE!</v>
      </c>
      <c r="AS16" s="4" t="e">
        <f>ROUND(28.29*(1+AA6)*(1+AA5)+AA7,2)</f>
        <v>#VALUE!</v>
      </c>
      <c r="AT16" s="4" t="e">
        <f>ROUND(29.05*(1+AA6)*(1+AA5)+AA7,2)</f>
        <v>#VALUE!</v>
      </c>
      <c r="AU16" s="4" t="e">
        <f>ROUND(29.7*(1+AA6)*(1+AA5)+AA7,2)</f>
        <v>#VALUE!</v>
      </c>
      <c r="AV16" s="4" t="e">
        <f>ROUND(31.16*(1+AA6)*(1+AA5)+AA7,2)</f>
        <v>#VALUE!</v>
      </c>
      <c r="AW16" s="4" t="e">
        <f>ROUND(32.21*(1+AA6)*(1+AA5)+AA7,2)</f>
        <v>#VALUE!</v>
      </c>
      <c r="AX16" s="4" t="e">
        <f>ROUND(35.06*(1+AA6)*(1+AA5)+AA7,2)</f>
        <v>#VALUE!</v>
      </c>
      <c r="AY16" s="4" t="e">
        <f>ROUND(38.57*(1+AA6)*(1+AA5)+AA7,2)</f>
        <v>#VALUE!</v>
      </c>
      <c r="AZ16" s="4" t="e">
        <f>ROUND(42.44*(1+AA6)*(1+AA5)+AA7,2)</f>
        <v>#VALUE!</v>
      </c>
      <c r="BA16" s="4"/>
      <c r="BB16" s="4"/>
      <c r="BC16" s="4"/>
      <c r="BD16" s="4"/>
    </row>
    <row r="17" spans="1:56" x14ac:dyDescent="0.3">
      <c r="A17" s="4"/>
      <c r="B17" s="19"/>
      <c r="C17" s="7">
        <v>914</v>
      </c>
      <c r="D17" s="4">
        <v>15.18</v>
      </c>
      <c r="E17" s="4">
        <v>16.059999999999999</v>
      </c>
      <c r="F17" s="4">
        <v>16.97</v>
      </c>
      <c r="G17" s="4">
        <v>17.75</v>
      </c>
      <c r="H17" s="4">
        <v>19.07</v>
      </c>
      <c r="I17" s="4">
        <v>19.739999999999998</v>
      </c>
      <c r="J17" s="4">
        <v>20.88</v>
      </c>
      <c r="K17" s="4">
        <v>21.87</v>
      </c>
      <c r="L17" s="4">
        <v>22.55</v>
      </c>
      <c r="M17" s="4">
        <v>23.42</v>
      </c>
      <c r="N17" s="4">
        <v>25.12</v>
      </c>
      <c r="O17" s="4">
        <v>26.7</v>
      </c>
      <c r="P17" s="4">
        <v>29.67</v>
      </c>
      <c r="Q17" s="4">
        <v>30.53</v>
      </c>
      <c r="R17" s="4">
        <v>31.19</v>
      </c>
      <c r="S17" s="4">
        <v>32.76</v>
      </c>
      <c r="T17" s="4">
        <v>33.909999999999997</v>
      </c>
      <c r="U17" s="4">
        <v>36.99</v>
      </c>
      <c r="V17" s="4">
        <v>40.729999999999997</v>
      </c>
      <c r="W17" s="4">
        <v>44.79</v>
      </c>
      <c r="X17" s="11"/>
      <c r="Y17" s="11"/>
      <c r="Z17" s="11"/>
      <c r="AA17" s="11"/>
      <c r="AB17" s="11"/>
      <c r="AC17" s="11"/>
      <c r="AD17" s="15"/>
      <c r="AE17" s="19"/>
      <c r="AF17" s="7">
        <v>914</v>
      </c>
      <c r="AG17" s="4" t="e">
        <f>ROUND(15.18*(1+AA6)*(1+AA5)+AA7,2)</f>
        <v>#VALUE!</v>
      </c>
      <c r="AH17" s="4" t="e">
        <f>ROUND(16.06*(1+AA6)*(1+AA5)+AA7,2)</f>
        <v>#VALUE!</v>
      </c>
      <c r="AI17" s="4" t="e">
        <f>ROUND(16.97*(1+AA6)*(1+AA5)+AA7,2)</f>
        <v>#VALUE!</v>
      </c>
      <c r="AJ17" s="4" t="e">
        <f>ROUND(17.75*(1+AA6)*(1+AA5)+AA7,2)</f>
        <v>#VALUE!</v>
      </c>
      <c r="AK17" s="4" t="e">
        <f>ROUND(19.07*(1+AA6)*(1+AA5)+AA7,2)</f>
        <v>#VALUE!</v>
      </c>
      <c r="AL17" s="4" t="e">
        <f>ROUND(19.74*(1+AA6)*(1+AA5)+AA7,2)</f>
        <v>#VALUE!</v>
      </c>
      <c r="AM17" s="4" t="e">
        <f>ROUND(20.88*(1+AA6)*(1+AA5)+AA7,2)</f>
        <v>#VALUE!</v>
      </c>
      <c r="AN17" s="4" t="e">
        <f>ROUND(21.87*(1+AA6)*(1+AA5)+AA7,2)</f>
        <v>#VALUE!</v>
      </c>
      <c r="AO17" s="4" t="e">
        <f>ROUND(22.55*(1+AA6)*(1+AA5)+AA7,2)</f>
        <v>#VALUE!</v>
      </c>
      <c r="AP17" s="4" t="e">
        <f>ROUND(23.42*(1+AA6)*(1+AA5)+AA7,2)</f>
        <v>#VALUE!</v>
      </c>
      <c r="AQ17" s="4" t="e">
        <f>ROUND(25.12*(1+AA6)*(1+AA5)+AA7,2)</f>
        <v>#VALUE!</v>
      </c>
      <c r="AR17" s="4" t="e">
        <f>ROUND(26.7*(1+AA6)*(1+AA5)+AA7,2)</f>
        <v>#VALUE!</v>
      </c>
      <c r="AS17" s="4" t="e">
        <f>ROUND(29.67*(1+AA6)*(1+AA5)+AA7,2)</f>
        <v>#VALUE!</v>
      </c>
      <c r="AT17" s="4" t="e">
        <f>ROUND(30.53*(1+AA6)*(1+AA5)+AA7,2)</f>
        <v>#VALUE!</v>
      </c>
      <c r="AU17" s="4" t="e">
        <f>ROUND(31.19*(1+AA6)*(1+AA5)+AA7,2)</f>
        <v>#VALUE!</v>
      </c>
      <c r="AV17" s="4" t="e">
        <f>ROUND(32.76*(1+AA6)*(1+AA5)+AA7,2)</f>
        <v>#VALUE!</v>
      </c>
      <c r="AW17" s="4" t="e">
        <f>ROUND(33.91*(1+AA6)*(1+AA5)+AA7,2)</f>
        <v>#VALUE!</v>
      </c>
      <c r="AX17" s="4" t="e">
        <f>ROUND(36.99*(1+AA6)*(1+AA5)+AA7,2)</f>
        <v>#VALUE!</v>
      </c>
      <c r="AY17" s="4" t="e">
        <f>ROUND(40.73*(1+AA6)*(1+AA5)+AA7,2)</f>
        <v>#VALUE!</v>
      </c>
      <c r="AZ17" s="4" t="e">
        <f>ROUND(44.79*(1+AA6)*(1+AA5)+AA7,2)</f>
        <v>#VALUE!</v>
      </c>
      <c r="BA17" s="4"/>
      <c r="BB17" s="4"/>
      <c r="BC17" s="4"/>
      <c r="BD17" s="4"/>
    </row>
    <row r="18" spans="1:56" x14ac:dyDescent="0.3">
      <c r="A18" s="4"/>
      <c r="B18" s="19"/>
      <c r="C18" s="7">
        <v>1067</v>
      </c>
      <c r="D18" s="4">
        <v>15.6</v>
      </c>
      <c r="E18" s="4">
        <v>16.559999999999999</v>
      </c>
      <c r="F18" s="4">
        <v>17.489999999999998</v>
      </c>
      <c r="G18" s="4">
        <v>18.309999999999999</v>
      </c>
      <c r="H18" s="4">
        <v>19.760000000000002</v>
      </c>
      <c r="I18" s="4">
        <v>20.5</v>
      </c>
      <c r="J18" s="4">
        <v>21.7</v>
      </c>
      <c r="K18" s="4">
        <v>22.76</v>
      </c>
      <c r="L18" s="4">
        <v>23.47</v>
      </c>
      <c r="M18" s="4">
        <v>24.43</v>
      </c>
      <c r="N18" s="4">
        <v>26.21</v>
      </c>
      <c r="O18" s="4">
        <v>27.9</v>
      </c>
      <c r="P18" s="4">
        <v>31.07</v>
      </c>
      <c r="Q18" s="4">
        <v>31.97</v>
      </c>
      <c r="R18" s="4">
        <v>32.69</v>
      </c>
      <c r="S18" s="4">
        <v>34.380000000000003</v>
      </c>
      <c r="T18" s="4">
        <v>35.57</v>
      </c>
      <c r="U18" s="4">
        <v>38.950000000000003</v>
      </c>
      <c r="V18" s="4">
        <v>42.83</v>
      </c>
      <c r="W18" s="4">
        <v>47.15</v>
      </c>
      <c r="X18" s="11"/>
      <c r="Y18" s="11"/>
      <c r="Z18" s="11"/>
      <c r="AA18" s="11"/>
      <c r="AB18" s="11"/>
      <c r="AC18" s="11"/>
      <c r="AD18" s="15"/>
      <c r="AE18" s="19"/>
      <c r="AF18" s="7">
        <v>1067</v>
      </c>
      <c r="AG18" s="4" t="e">
        <f>ROUND(15.6*(1+AA6)*(1+AA5)+AA7,2)</f>
        <v>#VALUE!</v>
      </c>
      <c r="AH18" s="4" t="e">
        <f>ROUND(16.56*(1+AA6)*(1+AA5)+AA7,2)</f>
        <v>#VALUE!</v>
      </c>
      <c r="AI18" s="4" t="e">
        <f>ROUND(17.49*(1+AA6)*(1+AA5)+AA7,2)</f>
        <v>#VALUE!</v>
      </c>
      <c r="AJ18" s="4" t="e">
        <f>ROUND(18.31*(1+AA6)*(1+AA5)+AA7,2)</f>
        <v>#VALUE!</v>
      </c>
      <c r="AK18" s="4" t="e">
        <f>ROUND(19.76*(1+AA6)*(1+AA5)+AA7,2)</f>
        <v>#VALUE!</v>
      </c>
      <c r="AL18" s="4" t="e">
        <f>ROUND(20.5*(1+AA6)*(1+AA5)+AA7,2)</f>
        <v>#VALUE!</v>
      </c>
      <c r="AM18" s="4" t="e">
        <f>ROUND(21.7*(1+AA6)*(1+AA5)+AA7,2)</f>
        <v>#VALUE!</v>
      </c>
      <c r="AN18" s="4" t="e">
        <f>ROUND(22.76*(1+AA6)*(1+AA5)+AA7,2)</f>
        <v>#VALUE!</v>
      </c>
      <c r="AO18" s="4" t="e">
        <f>ROUND(23.47*(1+AA6)*(1+AA5)+AA7,2)</f>
        <v>#VALUE!</v>
      </c>
      <c r="AP18" s="4" t="e">
        <f>ROUND(24.43*(1+AA6)*(1+AA5)+AA7,2)</f>
        <v>#VALUE!</v>
      </c>
      <c r="AQ18" s="4" t="e">
        <f>ROUND(26.21*(1+AA6)*(1+AA5)+AA7,2)</f>
        <v>#VALUE!</v>
      </c>
      <c r="AR18" s="4" t="e">
        <f>ROUND(27.9*(1+AA6)*(1+AA5)+AA7,2)</f>
        <v>#VALUE!</v>
      </c>
      <c r="AS18" s="4" t="e">
        <f>ROUND(31.07*(1+AA6)*(1+AA5)+AA7,2)</f>
        <v>#VALUE!</v>
      </c>
      <c r="AT18" s="4" t="e">
        <f>ROUND(31.97*(1+AA6)*(1+AA5)+AA7,2)</f>
        <v>#VALUE!</v>
      </c>
      <c r="AU18" s="4" t="e">
        <f>ROUND(32.69*(1+AA6)*(1+AA5)+AA7,2)</f>
        <v>#VALUE!</v>
      </c>
      <c r="AV18" s="4" t="e">
        <f>ROUND(34.38*(1+AA6)*(1+AA5)+AA7,2)</f>
        <v>#VALUE!</v>
      </c>
      <c r="AW18" s="4" t="e">
        <f>ROUND(35.57*(1+AA6)*(1+AA5)+AA7,2)</f>
        <v>#VALUE!</v>
      </c>
      <c r="AX18" s="4" t="e">
        <f>ROUND(38.95*(1+AA6)*(1+AA5)+AA7,2)</f>
        <v>#VALUE!</v>
      </c>
      <c r="AY18" s="4" t="e">
        <f>ROUND(42.83*(1+AA6)*(1+AA5)+AA7,2)</f>
        <v>#VALUE!</v>
      </c>
      <c r="AZ18" s="4" t="e">
        <f>ROUND(47.15*(1+AA6)*(1+AA5)+AA7,2)</f>
        <v>#VALUE!</v>
      </c>
      <c r="BA18" s="4"/>
      <c r="BB18" s="4"/>
      <c r="BC18" s="4"/>
      <c r="BD18" s="4"/>
    </row>
    <row r="19" spans="1:56" x14ac:dyDescent="0.3">
      <c r="A19" s="4"/>
      <c r="B19" s="19"/>
      <c r="C19" s="7">
        <v>1219</v>
      </c>
      <c r="D19" s="4">
        <v>15.96</v>
      </c>
      <c r="E19" s="4">
        <v>17.010000000000002</v>
      </c>
      <c r="F19" s="4">
        <v>18.010000000000002</v>
      </c>
      <c r="G19" s="4">
        <v>18.87</v>
      </c>
      <c r="H19" s="4">
        <v>20.440000000000001</v>
      </c>
      <c r="I19" s="4">
        <v>21.2</v>
      </c>
      <c r="J19" s="4">
        <v>22.52</v>
      </c>
      <c r="K19" s="4">
        <v>23.62</v>
      </c>
      <c r="L19" s="4">
        <v>24.38</v>
      </c>
      <c r="M19" s="4">
        <v>25.38</v>
      </c>
      <c r="N19" s="4">
        <v>27.29</v>
      </c>
      <c r="O19" s="4">
        <v>29.04</v>
      </c>
      <c r="P19" s="4">
        <v>32.46</v>
      </c>
      <c r="Q19" s="4">
        <v>33.44</v>
      </c>
      <c r="R19" s="4">
        <v>34.17</v>
      </c>
      <c r="S19" s="4">
        <v>36</v>
      </c>
      <c r="T19" s="4">
        <v>37.25</v>
      </c>
      <c r="U19" s="4">
        <v>40.869999999999997</v>
      </c>
      <c r="V19" s="4">
        <v>44.99</v>
      </c>
      <c r="W19" s="4">
        <v>49.46</v>
      </c>
      <c r="X19" s="11"/>
      <c r="Y19" s="11"/>
      <c r="Z19" s="11"/>
      <c r="AA19" s="11"/>
      <c r="AB19" s="11"/>
      <c r="AC19" s="11"/>
      <c r="AD19" s="15"/>
      <c r="AE19" s="19"/>
      <c r="AF19" s="7">
        <v>1219</v>
      </c>
      <c r="AG19" s="4" t="e">
        <f>ROUND(15.96*(1+AA6)*(1+AA5)+AA7,2)</f>
        <v>#VALUE!</v>
      </c>
      <c r="AH19" s="4" t="e">
        <f>ROUND(17.01*(1+AA6)*(1+AA5)+AA7,2)</f>
        <v>#VALUE!</v>
      </c>
      <c r="AI19" s="4" t="e">
        <f>ROUND(18.01*(1+AA6)*(1+AA5)+AA7,2)</f>
        <v>#VALUE!</v>
      </c>
      <c r="AJ19" s="4" t="e">
        <f>ROUND(18.87*(1+AA6)*(1+AA5)+AA7,2)</f>
        <v>#VALUE!</v>
      </c>
      <c r="AK19" s="4" t="e">
        <f>ROUND(20.44*(1+AA6)*(1+AA5)+AA7,2)</f>
        <v>#VALUE!</v>
      </c>
      <c r="AL19" s="4" t="e">
        <f>ROUND(21.2*(1+AA6)*(1+AA5)+AA7,2)</f>
        <v>#VALUE!</v>
      </c>
      <c r="AM19" s="4" t="e">
        <f>ROUND(22.52*(1+AA6)*(1+AA5)+AA7,2)</f>
        <v>#VALUE!</v>
      </c>
      <c r="AN19" s="4" t="e">
        <f>ROUND(23.62*(1+AA6)*(1+AA5)+AA7,2)</f>
        <v>#VALUE!</v>
      </c>
      <c r="AO19" s="4" t="e">
        <f>ROUND(24.38*(1+AA6)*(1+AA5)+AA7,2)</f>
        <v>#VALUE!</v>
      </c>
      <c r="AP19" s="4" t="e">
        <f>ROUND(25.38*(1+AA6)*(1+AA5)+AA7,2)</f>
        <v>#VALUE!</v>
      </c>
      <c r="AQ19" s="4" t="e">
        <f>ROUND(27.29*(1+AA6)*(1+AA5)+AA7,2)</f>
        <v>#VALUE!</v>
      </c>
      <c r="AR19" s="4" t="e">
        <f>ROUND(29.04*(1+AA6)*(1+AA5)+AA7,2)</f>
        <v>#VALUE!</v>
      </c>
      <c r="AS19" s="4" t="e">
        <f>ROUND(32.46*(1+AA6)*(1+AA5)+AA7,2)</f>
        <v>#VALUE!</v>
      </c>
      <c r="AT19" s="4" t="e">
        <f>ROUND(33.44*(1+AA6)*(1+AA5)+AA7,2)</f>
        <v>#VALUE!</v>
      </c>
      <c r="AU19" s="4" t="e">
        <f>ROUND(34.17*(1+AA6)*(1+AA5)+AA7,2)</f>
        <v>#VALUE!</v>
      </c>
      <c r="AV19" s="4" t="e">
        <f>ROUND(36*(1+AA6)*(1+AA5)+AA7,2)</f>
        <v>#VALUE!</v>
      </c>
      <c r="AW19" s="4" t="e">
        <f>ROUND(37.25*(1+AA6)*(1+AA5)+AA7,2)</f>
        <v>#VALUE!</v>
      </c>
      <c r="AX19" s="4" t="e">
        <f>ROUND(40.87*(1+AA6)*(1+AA5)+AA7,2)</f>
        <v>#VALUE!</v>
      </c>
      <c r="AY19" s="4" t="e">
        <f>ROUND(44.99*(1+AA6)*(1+AA5)+AA7,2)</f>
        <v>#VALUE!</v>
      </c>
      <c r="AZ19" s="4" t="e">
        <f>ROUND(49.46*(1+AA6)*(1+AA5)+AA7,2)</f>
        <v>#VALUE!</v>
      </c>
      <c r="BA19" s="4"/>
      <c r="BB19" s="4"/>
      <c r="BC19" s="4"/>
      <c r="BD19" s="4"/>
    </row>
    <row r="20" spans="1:56" x14ac:dyDescent="0.3">
      <c r="A20" s="4"/>
      <c r="B20" s="19"/>
      <c r="C20" s="7">
        <v>1524</v>
      </c>
      <c r="D20" s="4">
        <v>16.75</v>
      </c>
      <c r="E20" s="4">
        <v>17.920000000000002</v>
      </c>
      <c r="F20" s="4">
        <v>19.07</v>
      </c>
      <c r="G20" s="4">
        <v>19.97</v>
      </c>
      <c r="H20" s="4">
        <v>21.84</v>
      </c>
      <c r="I20" s="4">
        <v>22.64</v>
      </c>
      <c r="J20" s="4">
        <v>24.17</v>
      </c>
      <c r="K20" s="4">
        <v>25.38</v>
      </c>
      <c r="L20" s="4">
        <v>26.2</v>
      </c>
      <c r="M20" s="4">
        <v>27.35</v>
      </c>
      <c r="N20" s="4">
        <v>29.45</v>
      </c>
      <c r="O20" s="4">
        <v>31.39</v>
      </c>
      <c r="P20" s="4">
        <v>35.28</v>
      </c>
      <c r="Q20" s="4">
        <v>36.369999999999997</v>
      </c>
      <c r="R20" s="4">
        <v>37.18</v>
      </c>
      <c r="S20" s="4">
        <v>39.24</v>
      </c>
      <c r="T20" s="4">
        <v>40.619999999999997</v>
      </c>
      <c r="U20" s="4">
        <v>44.76</v>
      </c>
      <c r="V20" s="4">
        <v>49.26</v>
      </c>
      <c r="W20" s="4">
        <v>54.18</v>
      </c>
      <c r="X20" s="11"/>
      <c r="Y20" s="11"/>
      <c r="Z20" s="11"/>
      <c r="AA20" s="11"/>
      <c r="AB20" s="11"/>
      <c r="AC20" s="11"/>
      <c r="AD20" s="15"/>
      <c r="AE20" s="19"/>
      <c r="AF20" s="7">
        <v>1524</v>
      </c>
      <c r="AG20" s="4" t="e">
        <f>ROUND(16.75*(1+AA6)*(1+AA5)+AA7,2)</f>
        <v>#VALUE!</v>
      </c>
      <c r="AH20" s="4" t="e">
        <f>ROUND(17.92*(1+AA6)*(1+AA5)+AA7,2)</f>
        <v>#VALUE!</v>
      </c>
      <c r="AI20" s="4" t="e">
        <f>ROUND(19.07*(1+AA6)*(1+AA5)+AA7,2)</f>
        <v>#VALUE!</v>
      </c>
      <c r="AJ20" s="4" t="e">
        <f>ROUND(19.97*(1+AA6)*(1+AA5)+AA7,2)</f>
        <v>#VALUE!</v>
      </c>
      <c r="AK20" s="4" t="e">
        <f>ROUND(21.84*(1+AA6)*(1+AA5)+AA7,2)</f>
        <v>#VALUE!</v>
      </c>
      <c r="AL20" s="4" t="e">
        <f>ROUND(22.64*(1+AA6)*(1+AA5)+AA7,2)</f>
        <v>#VALUE!</v>
      </c>
      <c r="AM20" s="4" t="e">
        <f>ROUND(24.17*(1+AA6)*(1+AA5)+AA7,2)</f>
        <v>#VALUE!</v>
      </c>
      <c r="AN20" s="4" t="e">
        <f>ROUND(25.38*(1+AA6)*(1+AA5)+AA7,2)</f>
        <v>#VALUE!</v>
      </c>
      <c r="AO20" s="4" t="e">
        <f>ROUND(26.2*(1+AA6)*(1+AA5)+AA7,2)</f>
        <v>#VALUE!</v>
      </c>
      <c r="AP20" s="4" t="e">
        <f>ROUND(27.35*(1+AA6)*(1+AA5)+AA7,2)</f>
        <v>#VALUE!</v>
      </c>
      <c r="AQ20" s="4" t="e">
        <f>ROUND(29.45*(1+AA6)*(1+AA5)+AA7,2)</f>
        <v>#VALUE!</v>
      </c>
      <c r="AR20" s="4" t="e">
        <f>ROUND(31.39*(1+AA6)*(1+AA5)+AA7,2)</f>
        <v>#VALUE!</v>
      </c>
      <c r="AS20" s="4" t="e">
        <f>ROUND(35.28*(1+AA6)*(1+AA5)+AA7,2)</f>
        <v>#VALUE!</v>
      </c>
      <c r="AT20" s="4" t="e">
        <f>ROUND(36.37*(1+AA6)*(1+AA5)+AA7,2)</f>
        <v>#VALUE!</v>
      </c>
      <c r="AU20" s="4" t="e">
        <f>ROUND(37.18*(1+AA6)*(1+AA5)+AA7,2)</f>
        <v>#VALUE!</v>
      </c>
      <c r="AV20" s="4" t="e">
        <f>ROUND(39.24*(1+AA6)*(1+AA5)+AA7,2)</f>
        <v>#VALUE!</v>
      </c>
      <c r="AW20" s="4" t="e">
        <f>ROUND(40.62*(1+AA6)*(1+AA5)+AA7,2)</f>
        <v>#VALUE!</v>
      </c>
      <c r="AX20" s="4" t="e">
        <f>ROUND(44.76*(1+AA6)*(1+AA5)+AA7,2)</f>
        <v>#VALUE!</v>
      </c>
      <c r="AY20" s="4" t="e">
        <f>ROUND(49.26*(1+AA6)*(1+AA5)+AA7,2)</f>
        <v>#VALUE!</v>
      </c>
      <c r="AZ20" s="4" t="e">
        <f>ROUND(54.18*(1+AA6)*(1+AA5)+AA7,2)</f>
        <v>#VALUE!</v>
      </c>
      <c r="BA20" s="4"/>
      <c r="BB20" s="4"/>
      <c r="BC20" s="4"/>
      <c r="BD20" s="4"/>
    </row>
    <row r="21" spans="1:56" x14ac:dyDescent="0.3">
      <c r="A21" s="4"/>
      <c r="B21" s="19"/>
      <c r="C21" s="7">
        <v>1829</v>
      </c>
      <c r="D21" s="4">
        <v>17.579999999999998</v>
      </c>
      <c r="E21" s="4">
        <v>18.87</v>
      </c>
      <c r="F21" s="4">
        <v>20.170000000000002</v>
      </c>
      <c r="G21" s="4">
        <v>21.11</v>
      </c>
      <c r="H21" s="4">
        <v>23.22</v>
      </c>
      <c r="I21" s="4">
        <v>24.06</v>
      </c>
      <c r="J21" s="4">
        <v>25.78</v>
      </c>
      <c r="K21" s="4">
        <v>27.17</v>
      </c>
      <c r="L21" s="4">
        <v>28.03</v>
      </c>
      <c r="M21" s="4">
        <v>29.27</v>
      </c>
      <c r="N21" s="4">
        <v>31.59</v>
      </c>
      <c r="O21" s="4">
        <v>33.729999999999997</v>
      </c>
      <c r="P21" s="4">
        <v>38.049999999999997</v>
      </c>
      <c r="Q21" s="4">
        <v>39.28</v>
      </c>
      <c r="R21" s="4">
        <v>40.159999999999997</v>
      </c>
      <c r="S21" s="4">
        <v>42.48</v>
      </c>
      <c r="T21" s="4">
        <v>43.99</v>
      </c>
      <c r="U21" s="4">
        <v>48.67</v>
      </c>
      <c r="V21" s="4">
        <v>53.52</v>
      </c>
      <c r="W21" s="4">
        <v>58.88</v>
      </c>
      <c r="X21" s="11"/>
      <c r="Y21" s="11"/>
      <c r="Z21" s="11"/>
      <c r="AA21" s="11"/>
      <c r="AB21" s="11"/>
      <c r="AC21" s="11"/>
      <c r="AD21" s="15"/>
      <c r="AE21" s="19"/>
      <c r="AF21" s="7">
        <v>1829</v>
      </c>
      <c r="AG21" s="4" t="e">
        <f>ROUND(17.58*(1+AA6)*(1+AA5)+AA7,2)</f>
        <v>#VALUE!</v>
      </c>
      <c r="AH21" s="4" t="e">
        <f>ROUND(18.87*(1+AA6)*(1+AA5)+AA7,2)</f>
        <v>#VALUE!</v>
      </c>
      <c r="AI21" s="4" t="e">
        <f>ROUND(20.17*(1+AA6)*(1+AA5)+AA7,2)</f>
        <v>#VALUE!</v>
      </c>
      <c r="AJ21" s="4" t="e">
        <f>ROUND(21.11*(1+AA6)*(1+AA5)+AA7,2)</f>
        <v>#VALUE!</v>
      </c>
      <c r="AK21" s="4" t="e">
        <f>ROUND(23.22*(1+AA6)*(1+AA5)+AA7,2)</f>
        <v>#VALUE!</v>
      </c>
      <c r="AL21" s="4" t="e">
        <f>ROUND(24.06*(1+AA6)*(1+AA5)+AA7,2)</f>
        <v>#VALUE!</v>
      </c>
      <c r="AM21" s="4" t="e">
        <f>ROUND(25.78*(1+AA6)*(1+AA5)+AA7,2)</f>
        <v>#VALUE!</v>
      </c>
      <c r="AN21" s="4" t="e">
        <f>ROUND(27.17*(1+AA6)*(1+AA5)+AA7,2)</f>
        <v>#VALUE!</v>
      </c>
      <c r="AO21" s="4" t="e">
        <f>ROUND(28.03*(1+AA6)*(1+AA5)+AA7,2)</f>
        <v>#VALUE!</v>
      </c>
      <c r="AP21" s="4" t="e">
        <f>ROUND(29.27*(1+AA6)*(1+AA5)+AA7,2)</f>
        <v>#VALUE!</v>
      </c>
      <c r="AQ21" s="4" t="e">
        <f>ROUND(31.59*(1+AA6)*(1+AA5)+AA7,2)</f>
        <v>#VALUE!</v>
      </c>
      <c r="AR21" s="4" t="e">
        <f>ROUND(33.73*(1+AA6)*(1+AA5)+AA7,2)</f>
        <v>#VALUE!</v>
      </c>
      <c r="AS21" s="4" t="e">
        <f>ROUND(38.05*(1+AA6)*(1+AA5)+AA7,2)</f>
        <v>#VALUE!</v>
      </c>
      <c r="AT21" s="4" t="e">
        <f>ROUND(39.28*(1+AA6)*(1+AA5)+AA7,2)</f>
        <v>#VALUE!</v>
      </c>
      <c r="AU21" s="4" t="e">
        <f>ROUND(40.16*(1+AA6)*(1+AA5)+AA7,2)</f>
        <v>#VALUE!</v>
      </c>
      <c r="AV21" s="4" t="e">
        <f>ROUND(42.48*(1+AA6)*(1+AA5)+AA7,2)</f>
        <v>#VALUE!</v>
      </c>
      <c r="AW21" s="4" t="e">
        <f>ROUND(43.99*(1+AA6)*(1+AA5)+AA7,2)</f>
        <v>#VALUE!</v>
      </c>
      <c r="AX21" s="4" t="e">
        <f>ROUND(48.67*(1+AA6)*(1+AA5)+AA7,2)</f>
        <v>#VALUE!</v>
      </c>
      <c r="AY21" s="4" t="e">
        <f>ROUND(53.52*(1+AA6)*(1+AA5)+AA7,2)</f>
        <v>#VALUE!</v>
      </c>
      <c r="AZ21" s="4" t="e">
        <f>ROUND(58.88*(1+AA6)*(1+AA5)+AA7,2)</f>
        <v>#VALUE!</v>
      </c>
      <c r="BA21" s="4"/>
      <c r="BB21" s="4"/>
      <c r="BC21" s="4"/>
      <c r="BD21" s="4"/>
    </row>
    <row r="22" spans="1:56" x14ac:dyDescent="0.3">
      <c r="A22" s="4"/>
      <c r="B22" s="19"/>
      <c r="C22" s="7">
        <v>2134</v>
      </c>
      <c r="D22" s="4">
        <v>18.36</v>
      </c>
      <c r="E22" s="4">
        <v>19.77</v>
      </c>
      <c r="F22" s="4">
        <v>21.2</v>
      </c>
      <c r="G22" s="4">
        <v>22.23</v>
      </c>
      <c r="H22" s="4">
        <v>24.6</v>
      </c>
      <c r="I22" s="4">
        <v>25.55</v>
      </c>
      <c r="J22" s="4">
        <v>27.4</v>
      </c>
      <c r="K22" s="4">
        <v>28.91</v>
      </c>
      <c r="L22" s="4">
        <v>29.87</v>
      </c>
      <c r="M22" s="4">
        <v>31.25</v>
      </c>
      <c r="N22" s="4">
        <v>33.729999999999997</v>
      </c>
      <c r="O22" s="4">
        <v>36.049999999999997</v>
      </c>
      <c r="P22" s="4">
        <v>40.83</v>
      </c>
      <c r="Q22" s="4">
        <v>42.19</v>
      </c>
      <c r="R22" s="4">
        <v>43.1</v>
      </c>
      <c r="S22" s="4">
        <v>45.74</v>
      </c>
      <c r="T22" s="4">
        <v>47.37</v>
      </c>
      <c r="U22" s="4">
        <v>52.54</v>
      </c>
      <c r="V22" s="4">
        <v>57.83</v>
      </c>
      <c r="W22" s="4">
        <v>63.56</v>
      </c>
      <c r="X22" s="11"/>
      <c r="Y22" s="11"/>
      <c r="Z22" s="11"/>
      <c r="AA22" s="11"/>
      <c r="AB22" s="11"/>
      <c r="AC22" s="11"/>
      <c r="AD22" s="15"/>
      <c r="AE22" s="19"/>
      <c r="AF22" s="7">
        <v>2134</v>
      </c>
      <c r="AG22" s="4" t="e">
        <f>ROUND(18.36*(1+AA6)*(1+AA5)+AA7,2)</f>
        <v>#VALUE!</v>
      </c>
      <c r="AH22" s="4" t="e">
        <f>ROUND(19.77*(1+AA6)*(1+AA5)+AA7,2)</f>
        <v>#VALUE!</v>
      </c>
      <c r="AI22" s="4" t="e">
        <f>ROUND(21.2*(1+AA6)*(1+AA5)+AA7,2)</f>
        <v>#VALUE!</v>
      </c>
      <c r="AJ22" s="4" t="e">
        <f>ROUND(22.23*(1+AA6)*(1+AA5)+AA7,2)</f>
        <v>#VALUE!</v>
      </c>
      <c r="AK22" s="4" t="e">
        <f>ROUND(24.6*(1+AA6)*(1+AA5)+AA7,2)</f>
        <v>#VALUE!</v>
      </c>
      <c r="AL22" s="4" t="e">
        <f>ROUND(25.55*(1+AA6)*(1+AA5)+AA7,2)</f>
        <v>#VALUE!</v>
      </c>
      <c r="AM22" s="4" t="e">
        <f>ROUND(27.4*(1+AA6)*(1+AA5)+AA7,2)</f>
        <v>#VALUE!</v>
      </c>
      <c r="AN22" s="4" t="e">
        <f>ROUND(28.91*(1+AA6)*(1+AA5)+AA7,2)</f>
        <v>#VALUE!</v>
      </c>
      <c r="AO22" s="4" t="e">
        <f>ROUND(29.87*(1+AA6)*(1+AA5)+AA7,2)</f>
        <v>#VALUE!</v>
      </c>
      <c r="AP22" s="4" t="e">
        <f>ROUND(31.25*(1+AA6)*(1+AA5)+AA7,2)</f>
        <v>#VALUE!</v>
      </c>
      <c r="AQ22" s="4" t="e">
        <f>ROUND(33.73*(1+AA6)*(1+AA5)+AA7,2)</f>
        <v>#VALUE!</v>
      </c>
      <c r="AR22" s="4" t="e">
        <f>ROUND(36.05*(1+AA6)*(1+AA5)+AA7,2)</f>
        <v>#VALUE!</v>
      </c>
      <c r="AS22" s="4" t="e">
        <f>ROUND(40.83*(1+AA6)*(1+AA5)+AA7,2)</f>
        <v>#VALUE!</v>
      </c>
      <c r="AT22" s="4" t="e">
        <f>ROUND(42.19*(1+AA6)*(1+AA5)+AA7,2)</f>
        <v>#VALUE!</v>
      </c>
      <c r="AU22" s="4" t="e">
        <f>ROUND(43.1*(1+AA6)*(1+AA5)+AA7,2)</f>
        <v>#VALUE!</v>
      </c>
      <c r="AV22" s="4" t="e">
        <f>ROUND(45.74*(1+AA6)*(1+AA5)+AA7,2)</f>
        <v>#VALUE!</v>
      </c>
      <c r="AW22" s="4" t="e">
        <f>ROUND(47.37*(1+AA6)*(1+AA5)+AA7,2)</f>
        <v>#VALUE!</v>
      </c>
      <c r="AX22" s="4" t="e">
        <f>ROUND(52.54*(1+AA6)*(1+AA5)+AA7,2)</f>
        <v>#VALUE!</v>
      </c>
      <c r="AY22" s="4" t="e">
        <f>ROUND(57.83*(1+AA6)*(1+AA5)+AA7,2)</f>
        <v>#VALUE!</v>
      </c>
      <c r="AZ22" s="4" t="e">
        <f>ROUND(63.56*(1+AA6)*(1+AA5)+AA7,2)</f>
        <v>#VALUE!</v>
      </c>
      <c r="BA22" s="4"/>
      <c r="BB22" s="4"/>
      <c r="BC22" s="4"/>
      <c r="BD22" s="4"/>
    </row>
    <row r="23" spans="1:56" x14ac:dyDescent="0.3">
      <c r="A23" s="4"/>
      <c r="B23" s="19"/>
      <c r="C23" s="7">
        <v>2438</v>
      </c>
      <c r="D23" s="4">
        <v>19.18</v>
      </c>
      <c r="E23" s="4">
        <v>20.71</v>
      </c>
      <c r="F23" s="4">
        <v>22.25</v>
      </c>
      <c r="G23" s="4">
        <v>23.35</v>
      </c>
      <c r="H23" s="4">
        <v>25.96</v>
      </c>
      <c r="I23" s="4">
        <v>26.96</v>
      </c>
      <c r="J23" s="4">
        <v>29.03</v>
      </c>
      <c r="K23" s="4">
        <v>30.68</v>
      </c>
      <c r="L23" s="4">
        <v>31.67</v>
      </c>
      <c r="M23" s="4">
        <v>33.22</v>
      </c>
      <c r="N23" s="4">
        <v>35.880000000000003</v>
      </c>
      <c r="O23" s="4">
        <v>38.409999999999997</v>
      </c>
      <c r="P23" s="4">
        <v>43.61</v>
      </c>
      <c r="Q23" s="4">
        <v>45.1</v>
      </c>
      <c r="R23" s="4">
        <v>46.11</v>
      </c>
      <c r="S23" s="4">
        <v>48.94</v>
      </c>
      <c r="T23" s="4">
        <v>50.69</v>
      </c>
      <c r="U23" s="4">
        <v>56.4</v>
      </c>
      <c r="V23" s="4">
        <v>62.05</v>
      </c>
      <c r="W23" s="4">
        <v>68.28</v>
      </c>
      <c r="X23" s="11"/>
      <c r="Y23" s="11"/>
      <c r="Z23" s="11"/>
      <c r="AA23" s="11"/>
      <c r="AB23" s="11"/>
      <c r="AC23" s="11"/>
      <c r="AD23" s="15"/>
      <c r="AE23" s="19"/>
      <c r="AF23" s="7">
        <v>2438</v>
      </c>
      <c r="AG23" s="4" t="e">
        <f>ROUND(19.18*(1+AA6)*(1+AA5)+AA7,2)</f>
        <v>#VALUE!</v>
      </c>
      <c r="AH23" s="4" t="e">
        <f>ROUND(20.71*(1+AA6)*(1+AA5)+AA7,2)</f>
        <v>#VALUE!</v>
      </c>
      <c r="AI23" s="4" t="e">
        <f>ROUND(22.25*(1+AA6)*(1+AA5)+AA7,2)</f>
        <v>#VALUE!</v>
      </c>
      <c r="AJ23" s="4" t="e">
        <f>ROUND(23.35*(1+AA6)*(1+AA5)+AA7,2)</f>
        <v>#VALUE!</v>
      </c>
      <c r="AK23" s="4" t="e">
        <f>ROUND(25.96*(1+AA6)*(1+AA5)+AA7,2)</f>
        <v>#VALUE!</v>
      </c>
      <c r="AL23" s="4" t="e">
        <f>ROUND(26.96*(1+AA6)*(1+AA5)+AA7,2)</f>
        <v>#VALUE!</v>
      </c>
      <c r="AM23" s="4" t="e">
        <f>ROUND(29.03*(1+AA6)*(1+AA5)+AA7,2)</f>
        <v>#VALUE!</v>
      </c>
      <c r="AN23" s="4" t="e">
        <f>ROUND(30.68*(1+AA6)*(1+AA5)+AA7,2)</f>
        <v>#VALUE!</v>
      </c>
      <c r="AO23" s="4" t="e">
        <f>ROUND(31.67*(1+AA6)*(1+AA5)+AA7,2)</f>
        <v>#VALUE!</v>
      </c>
      <c r="AP23" s="4" t="e">
        <f>ROUND(33.22*(1+AA6)*(1+AA5)+AA7,2)</f>
        <v>#VALUE!</v>
      </c>
      <c r="AQ23" s="4" t="e">
        <f>ROUND(35.88*(1+AA6)*(1+AA5)+AA7,2)</f>
        <v>#VALUE!</v>
      </c>
      <c r="AR23" s="4" t="e">
        <f>ROUND(38.41*(1+AA6)*(1+AA5)+AA7,2)</f>
        <v>#VALUE!</v>
      </c>
      <c r="AS23" s="4" t="e">
        <f>ROUND(43.61*(1+AA6)*(1+AA5)+AA7,2)</f>
        <v>#VALUE!</v>
      </c>
      <c r="AT23" s="4" t="e">
        <f>ROUND(45.1*(1+AA6)*(1+AA5)+AA7,2)</f>
        <v>#VALUE!</v>
      </c>
      <c r="AU23" s="4" t="e">
        <f>ROUND(46.11*(1+AA6)*(1+AA5)+AA7,2)</f>
        <v>#VALUE!</v>
      </c>
      <c r="AV23" s="4" t="e">
        <f>ROUND(48.94*(1+AA6)*(1+AA5)+AA7,2)</f>
        <v>#VALUE!</v>
      </c>
      <c r="AW23" s="4" t="e">
        <f>ROUND(50.69*(1+AA6)*(1+AA5)+AA7,2)</f>
        <v>#VALUE!</v>
      </c>
      <c r="AX23" s="4" t="e">
        <f>ROUND(56.4*(1+AA6)*(1+AA5)+AA7,2)</f>
        <v>#VALUE!</v>
      </c>
      <c r="AY23" s="4" t="e">
        <f>ROUND(62.05*(1+AA6)*(1+AA5)+AA7,2)</f>
        <v>#VALUE!</v>
      </c>
      <c r="AZ23" s="4" t="e">
        <f>ROUND(68.28*(1+AA6)*(1+AA5)+AA7,2)</f>
        <v>#VALUE!</v>
      </c>
      <c r="BA23" s="4"/>
      <c r="BB23" s="4"/>
      <c r="BC23" s="4"/>
      <c r="BD23" s="4"/>
    </row>
    <row r="24" spans="1:56" x14ac:dyDescent="0.3">
      <c r="A24" s="4"/>
      <c r="B24" s="19"/>
      <c r="C24" s="7">
        <v>2913</v>
      </c>
      <c r="D24" s="4">
        <v>20.239999999999998</v>
      </c>
      <c r="E24" s="4">
        <v>21.95</v>
      </c>
      <c r="F24" s="4">
        <v>23.65</v>
      </c>
      <c r="G24" s="4">
        <v>24.88</v>
      </c>
      <c r="H24" s="4">
        <v>27.86</v>
      </c>
      <c r="I24" s="4">
        <v>28.9</v>
      </c>
      <c r="J24" s="4">
        <v>31.24</v>
      </c>
      <c r="K24" s="4">
        <v>33.07</v>
      </c>
      <c r="L24" s="4">
        <v>34.15</v>
      </c>
      <c r="M24" s="4">
        <v>35.869999999999997</v>
      </c>
      <c r="N24" s="4">
        <v>38.78</v>
      </c>
      <c r="O24" s="4">
        <v>41.58</v>
      </c>
      <c r="P24" s="4">
        <v>47.39</v>
      </c>
      <c r="Q24" s="4">
        <v>49.07</v>
      </c>
      <c r="R24" s="4">
        <v>50.74</v>
      </c>
      <c r="S24" s="4">
        <v>54.01</v>
      </c>
      <c r="T24" s="4">
        <v>55.96</v>
      </c>
      <c r="U24" s="4">
        <v>62.46</v>
      </c>
      <c r="V24" s="4">
        <v>68.72</v>
      </c>
      <c r="W24" s="4">
        <v>75.569999999999993</v>
      </c>
      <c r="X24" s="11"/>
      <c r="Y24" s="11"/>
      <c r="Z24" s="11"/>
      <c r="AA24" s="11"/>
      <c r="AB24" s="11"/>
      <c r="AC24" s="11"/>
      <c r="AD24" s="15"/>
      <c r="AE24" s="19"/>
      <c r="AF24" s="7">
        <v>2913</v>
      </c>
      <c r="AG24" s="4" t="e">
        <f>ROUND(20.24*(1+AA6)*(1+AA5)+AA7,2)</f>
        <v>#VALUE!</v>
      </c>
      <c r="AH24" s="4" t="e">
        <f>ROUND(21.95*(1+AA6)*(1+AA5)+AA7,2)</f>
        <v>#VALUE!</v>
      </c>
      <c r="AI24" s="4" t="e">
        <f>ROUND(23.65*(1+AA6)*(1+AA5)+AA7,2)</f>
        <v>#VALUE!</v>
      </c>
      <c r="AJ24" s="4" t="e">
        <f>ROUND(24.88*(1+AA6)*(1+AA5)+AA7,2)</f>
        <v>#VALUE!</v>
      </c>
      <c r="AK24" s="4" t="e">
        <f>ROUND(27.86*(1+AA6)*(1+AA5)+AA7,2)</f>
        <v>#VALUE!</v>
      </c>
      <c r="AL24" s="4" t="e">
        <f>ROUND(28.9*(1+AA6)*(1+AA5)+AA7,2)</f>
        <v>#VALUE!</v>
      </c>
      <c r="AM24" s="4" t="e">
        <f>ROUND(31.24*(1+AA6)*(1+AA5)+AA7,2)</f>
        <v>#VALUE!</v>
      </c>
      <c r="AN24" s="4" t="e">
        <f>ROUND(33.07*(1+AA6)*(1+AA5)+AA7,2)</f>
        <v>#VALUE!</v>
      </c>
      <c r="AO24" s="4" t="e">
        <f>ROUND(34.15*(1+AA6)*(1+AA5)+AA7,2)</f>
        <v>#VALUE!</v>
      </c>
      <c r="AP24" s="4" t="e">
        <f>ROUND(35.87*(1+AA6)*(1+AA5)+AA7,2)</f>
        <v>#VALUE!</v>
      </c>
      <c r="AQ24" s="4" t="e">
        <f>ROUND(38.78*(1+AA6)*(1+AA5)+AA7,2)</f>
        <v>#VALUE!</v>
      </c>
      <c r="AR24" s="4" t="e">
        <f>ROUND(41.58*(1+AA6)*(1+AA5)+AA7,2)</f>
        <v>#VALUE!</v>
      </c>
      <c r="AS24" s="4" t="e">
        <f>ROUND(47.39*(1+AA6)*(1+AA5)+AA7,2)</f>
        <v>#VALUE!</v>
      </c>
      <c r="AT24" s="4" t="e">
        <f>ROUND(49.07*(1+AA6)*(1+AA5)+AA7,2)</f>
        <v>#VALUE!</v>
      </c>
      <c r="AU24" s="4" t="e">
        <f>ROUND(50.74*(1+AA6)*(1+AA5)+AA7,2)</f>
        <v>#VALUE!</v>
      </c>
      <c r="AV24" s="4" t="e">
        <f>ROUND(54.01*(1+AA6)*(1+AA5)+AA7,2)</f>
        <v>#VALUE!</v>
      </c>
      <c r="AW24" s="4" t="e">
        <f>ROUND(55.96*(1+AA6)*(1+AA5)+AA7,2)</f>
        <v>#VALUE!</v>
      </c>
      <c r="AX24" s="4" t="e">
        <f>ROUND(62.46*(1+AA6)*(1+AA5)+AA7,2)</f>
        <v>#VALUE!</v>
      </c>
      <c r="AY24" s="4" t="e">
        <f>ROUND(68.72*(1+AA6)*(1+AA5)+AA7,2)</f>
        <v>#VALUE!</v>
      </c>
      <c r="AZ24" s="4" t="e">
        <f>ROUND(75.57*(1+AA6)*(1+AA5)+AA7,2)</f>
        <v>#VALUE!</v>
      </c>
      <c r="BA24" s="4"/>
      <c r="BB24" s="4"/>
      <c r="BC24" s="4"/>
      <c r="BD24" s="4"/>
    </row>
    <row r="25" spans="1:56" x14ac:dyDescent="0.3">
      <c r="A25" s="4"/>
      <c r="B25" s="19"/>
      <c r="C25" s="7">
        <v>3048</v>
      </c>
      <c r="D25" s="4">
        <v>22.29</v>
      </c>
      <c r="E25" s="4">
        <v>24.19</v>
      </c>
      <c r="F25" s="4">
        <v>26.04</v>
      </c>
      <c r="G25" s="4">
        <v>27.35</v>
      </c>
      <c r="H25" s="4">
        <v>30.63</v>
      </c>
      <c r="I25" s="4">
        <v>31.81</v>
      </c>
      <c r="J25" s="4">
        <v>34.369999999999997</v>
      </c>
      <c r="K25" s="4">
        <v>36.380000000000003</v>
      </c>
      <c r="L25" s="4">
        <v>37.590000000000003</v>
      </c>
      <c r="M25" s="4">
        <v>39.43</v>
      </c>
      <c r="N25" s="4">
        <v>42.66</v>
      </c>
      <c r="O25" s="4">
        <v>45.75</v>
      </c>
      <c r="P25" s="4">
        <v>52.15</v>
      </c>
      <c r="Q25" s="4">
        <v>53.97</v>
      </c>
      <c r="R25" s="4">
        <v>55.86</v>
      </c>
      <c r="S25" s="4">
        <v>59.39</v>
      </c>
      <c r="T25" s="4">
        <v>61.56</v>
      </c>
      <c r="U25" s="4">
        <v>68.72</v>
      </c>
      <c r="V25" s="4">
        <v>75.569999999999993</v>
      </c>
      <c r="W25" s="4">
        <v>83.15</v>
      </c>
      <c r="X25" s="11"/>
      <c r="Y25" s="11"/>
      <c r="Z25" s="11"/>
      <c r="AA25" s="11"/>
      <c r="AB25" s="11"/>
      <c r="AC25" s="11"/>
      <c r="AD25" s="15"/>
      <c r="AE25" s="19"/>
      <c r="AF25" s="7">
        <v>3048</v>
      </c>
      <c r="AG25" s="4" t="e">
        <f>ROUND(22.29*(1+AA6)*(1+AA5)+AA7,2)</f>
        <v>#VALUE!</v>
      </c>
      <c r="AH25" s="4" t="e">
        <f>ROUND(24.19*(1+AA6)*(1+AA5)+AA7,2)</f>
        <v>#VALUE!</v>
      </c>
      <c r="AI25" s="4" t="e">
        <f>ROUND(26.04*(1+AA6)*(1+AA5)+AA7,2)</f>
        <v>#VALUE!</v>
      </c>
      <c r="AJ25" s="4" t="e">
        <f>ROUND(27.35*(1+AA6)*(1+AA5)+AA7,2)</f>
        <v>#VALUE!</v>
      </c>
      <c r="AK25" s="4" t="e">
        <f>ROUND(30.63*(1+AA6)*(1+AA5)+AA7,2)</f>
        <v>#VALUE!</v>
      </c>
      <c r="AL25" s="4" t="e">
        <f>ROUND(31.81*(1+AA6)*(1+AA5)+AA7,2)</f>
        <v>#VALUE!</v>
      </c>
      <c r="AM25" s="4" t="e">
        <f>ROUND(34.37*(1+AA6)*(1+AA5)+AA7,2)</f>
        <v>#VALUE!</v>
      </c>
      <c r="AN25" s="4" t="e">
        <f>ROUND(36.38*(1+AA6)*(1+AA5)+AA7,2)</f>
        <v>#VALUE!</v>
      </c>
      <c r="AO25" s="4" t="e">
        <f>ROUND(37.59*(1+AA6)*(1+AA5)+AA7,2)</f>
        <v>#VALUE!</v>
      </c>
      <c r="AP25" s="4" t="e">
        <f>ROUND(39.43*(1+AA6)*(1+AA5)+AA7,2)</f>
        <v>#VALUE!</v>
      </c>
      <c r="AQ25" s="4" t="e">
        <f>ROUND(42.66*(1+AA6)*(1+AA5)+AA7,2)</f>
        <v>#VALUE!</v>
      </c>
      <c r="AR25" s="4" t="e">
        <f>ROUND(45.75*(1+AA6)*(1+AA5)+AA7,2)</f>
        <v>#VALUE!</v>
      </c>
      <c r="AS25" s="4" t="e">
        <f>ROUND(52.15*(1+AA6)*(1+AA5)+AA7,2)</f>
        <v>#VALUE!</v>
      </c>
      <c r="AT25" s="4" t="e">
        <f>ROUND(53.97*(1+AA6)*(1+AA5)+AA7,2)</f>
        <v>#VALUE!</v>
      </c>
      <c r="AU25" s="4" t="e">
        <f>ROUND(55.86*(1+AA6)*(1+AA5)+AA7,2)</f>
        <v>#VALUE!</v>
      </c>
      <c r="AV25" s="4" t="e">
        <f>ROUND(59.39*(1+AA6)*(1+AA5)+AA7,2)</f>
        <v>#VALUE!</v>
      </c>
      <c r="AW25" s="4" t="e">
        <f>ROUND(61.56*(1+AA6)*(1+AA5)+AA7,2)</f>
        <v>#VALUE!</v>
      </c>
      <c r="AX25" s="4" t="e">
        <f>ROUND(68.72*(1+AA6)*(1+AA5)+AA7,2)</f>
        <v>#VALUE!</v>
      </c>
      <c r="AY25" s="4" t="e">
        <f>ROUND(75.57*(1+AA6)*(1+AA5)+AA7,2)</f>
        <v>#VALUE!</v>
      </c>
      <c r="AZ25" s="4" t="e">
        <f>ROUND(83.15*(1+AA6)*(1+AA5)+AA7,2)</f>
        <v>#VALUE!</v>
      </c>
      <c r="BA25" s="4"/>
      <c r="BB25" s="4"/>
      <c r="BC25" s="4"/>
      <c r="BD25" s="4"/>
    </row>
    <row r="26" spans="1:56" x14ac:dyDescent="0.3">
      <c r="A26" s="4"/>
      <c r="B26" s="19"/>
      <c r="C26" s="7">
        <v>3300</v>
      </c>
      <c r="D26" s="4">
        <v>24.51</v>
      </c>
      <c r="E26" s="4">
        <v>26.59</v>
      </c>
      <c r="F26" s="4">
        <v>28.66</v>
      </c>
      <c r="G26" s="4">
        <v>30.08</v>
      </c>
      <c r="H26" s="4">
        <v>33.67</v>
      </c>
      <c r="I26" s="4">
        <v>34.96</v>
      </c>
      <c r="J26" s="4">
        <v>37.83</v>
      </c>
      <c r="K26" s="4">
        <v>40.01</v>
      </c>
      <c r="L26" s="4">
        <v>41.31</v>
      </c>
      <c r="M26" s="4">
        <v>43.38</v>
      </c>
      <c r="N26" s="4">
        <v>46.92</v>
      </c>
      <c r="O26" s="4">
        <v>50.3</v>
      </c>
      <c r="P26" s="4">
        <v>57.33</v>
      </c>
      <c r="Q26" s="4">
        <v>59.35</v>
      </c>
      <c r="R26" s="4">
        <v>61.41</v>
      </c>
      <c r="S26" s="4">
        <v>65.34</v>
      </c>
      <c r="T26" s="4">
        <v>67.72</v>
      </c>
      <c r="U26" s="4">
        <v>75.569999999999993</v>
      </c>
      <c r="V26" s="4">
        <v>83.15</v>
      </c>
      <c r="W26" s="4">
        <v>91.47</v>
      </c>
      <c r="X26" s="11"/>
      <c r="Y26" s="11"/>
      <c r="Z26" s="11"/>
      <c r="AA26" s="11"/>
      <c r="AB26" s="11"/>
      <c r="AC26" s="11"/>
      <c r="AD26" s="15"/>
      <c r="AE26" s="19"/>
      <c r="AF26" s="7">
        <v>3300</v>
      </c>
      <c r="AG26" s="4" t="e">
        <f>ROUND(24.51*(1+AA6)*(1+AA5)+AA7,2)</f>
        <v>#VALUE!</v>
      </c>
      <c r="AH26" s="4" t="e">
        <f>ROUND(26.59*(1+AA6)*(1+AA5)+AA7,2)</f>
        <v>#VALUE!</v>
      </c>
      <c r="AI26" s="4" t="e">
        <f>ROUND(28.66*(1+AA6)*(1+AA5)+AA7,2)</f>
        <v>#VALUE!</v>
      </c>
      <c r="AJ26" s="4" t="e">
        <f>ROUND(30.08*(1+AA6)*(1+AA5)+AA7,2)</f>
        <v>#VALUE!</v>
      </c>
      <c r="AK26" s="4" t="e">
        <f>ROUND(33.67*(1+AA6)*(1+AA5)+AA7,2)</f>
        <v>#VALUE!</v>
      </c>
      <c r="AL26" s="4" t="e">
        <f>ROUND(34.96*(1+AA6)*(1+AA5)+AA7,2)</f>
        <v>#VALUE!</v>
      </c>
      <c r="AM26" s="4" t="e">
        <f>ROUND(37.83*(1+AA6)*(1+AA5)+AA7,2)</f>
        <v>#VALUE!</v>
      </c>
      <c r="AN26" s="4" t="e">
        <f>ROUND(40.01*(1+AA6)*(1+AA5)+AA7,2)</f>
        <v>#VALUE!</v>
      </c>
      <c r="AO26" s="4" t="e">
        <f>ROUND(41.31*(1+AA6)*(1+AA5)+AA7,2)</f>
        <v>#VALUE!</v>
      </c>
      <c r="AP26" s="4" t="e">
        <f>ROUND(43.38*(1+AA6)*(1+AA5)+AA7,2)</f>
        <v>#VALUE!</v>
      </c>
      <c r="AQ26" s="4" t="e">
        <f>ROUND(46.92*(1+AA6)*(1+AA5)+AA7,2)</f>
        <v>#VALUE!</v>
      </c>
      <c r="AR26" s="4" t="e">
        <f>ROUND(50.3*(1+AA6)*(1+AA5)+AA7,2)</f>
        <v>#VALUE!</v>
      </c>
      <c r="AS26" s="4" t="e">
        <f>ROUND(57.33*(1+AA6)*(1+AA5)+AA7,2)</f>
        <v>#VALUE!</v>
      </c>
      <c r="AT26" s="4" t="e">
        <f>ROUND(59.35*(1+AA6)*(1+AA5)+AA7,2)</f>
        <v>#VALUE!</v>
      </c>
      <c r="AU26" s="4" t="e">
        <f>ROUND(61.41*(1+AA6)*(1+AA5)+AA7,2)</f>
        <v>#VALUE!</v>
      </c>
      <c r="AV26" s="4" t="e">
        <f>ROUND(65.34*(1+AA6)*(1+AA5)+AA7,2)</f>
        <v>#VALUE!</v>
      </c>
      <c r="AW26" s="4" t="e">
        <f>ROUND(67.72*(1+AA6)*(1+AA5)+AA7,2)</f>
        <v>#VALUE!</v>
      </c>
      <c r="AX26" s="4" t="e">
        <f>ROUND(75.57*(1+AA6)*(1+AA5)+AA7,2)</f>
        <v>#VALUE!</v>
      </c>
      <c r="AY26" s="4" t="e">
        <f>ROUND(83.15*(1+AA6)*(1+AA5)+AA7,2)</f>
        <v>#VALUE!</v>
      </c>
      <c r="AZ26" s="4" t="e">
        <f>ROUND(91.47*(1+AA6)*(1+AA5)+AA7,2)</f>
        <v>#VALUE!</v>
      </c>
      <c r="BA26" s="4"/>
      <c r="BB26" s="4"/>
      <c r="BC26" s="4"/>
      <c r="BD26" s="4"/>
    </row>
    <row r="27" spans="1:56" x14ac:dyDescent="0.3">
      <c r="A27" s="4"/>
      <c r="B27" s="19"/>
      <c r="C27" s="7">
        <v>3500</v>
      </c>
      <c r="D27" s="4">
        <v>26.96</v>
      </c>
      <c r="E27" s="4">
        <v>29.23</v>
      </c>
      <c r="F27" s="4">
        <v>31.52</v>
      </c>
      <c r="G27" s="4">
        <v>33.090000000000003</v>
      </c>
      <c r="H27" s="4">
        <v>37.01</v>
      </c>
      <c r="I27" s="4">
        <v>38.479999999999997</v>
      </c>
      <c r="J27" s="4">
        <v>41.59</v>
      </c>
      <c r="K27" s="4">
        <v>44</v>
      </c>
      <c r="L27" s="4">
        <v>45.44</v>
      </c>
      <c r="M27" s="4">
        <v>47.74</v>
      </c>
      <c r="N27" s="4">
        <v>51.62</v>
      </c>
      <c r="O27" s="4">
        <v>55.33</v>
      </c>
      <c r="P27" s="4">
        <v>63.06</v>
      </c>
      <c r="Q27" s="4">
        <v>65.260000000000005</v>
      </c>
      <c r="R27" s="4">
        <v>67.55</v>
      </c>
      <c r="S27" s="4">
        <v>71.88</v>
      </c>
      <c r="T27" s="4">
        <v>74.510000000000005</v>
      </c>
      <c r="U27" s="4">
        <v>83.15</v>
      </c>
      <c r="V27" s="4">
        <v>91.47</v>
      </c>
      <c r="W27" s="4">
        <v>100.59</v>
      </c>
      <c r="X27" s="11"/>
      <c r="Y27" s="11"/>
      <c r="Z27" s="11"/>
      <c r="AA27" s="11"/>
      <c r="AB27" s="11"/>
      <c r="AC27" s="11"/>
      <c r="AD27" s="15"/>
      <c r="AE27" s="19"/>
      <c r="AF27" s="7">
        <v>3500</v>
      </c>
      <c r="AG27" s="4" t="e">
        <f>ROUND(26.96*(1+AA6)*(1+AA5)+AA7,2)</f>
        <v>#VALUE!</v>
      </c>
      <c r="AH27" s="4" t="e">
        <f>ROUND(29.23*(1+AA6)*(1+AA5)+AA7,2)</f>
        <v>#VALUE!</v>
      </c>
      <c r="AI27" s="4" t="e">
        <f>ROUND(31.52*(1+AA6)*(1+AA5)+AA7,2)</f>
        <v>#VALUE!</v>
      </c>
      <c r="AJ27" s="4" t="e">
        <f>ROUND(33.09*(1+AA6)*(1+AA5)+AA7,2)</f>
        <v>#VALUE!</v>
      </c>
      <c r="AK27" s="4" t="e">
        <f>ROUND(37.01*(1+AA6)*(1+AA5)+AA7,2)</f>
        <v>#VALUE!</v>
      </c>
      <c r="AL27" s="4" t="e">
        <f>ROUND(38.48*(1+AA6)*(1+AA5)+AA7,2)</f>
        <v>#VALUE!</v>
      </c>
      <c r="AM27" s="4" t="e">
        <f>ROUND(41.59*(1+AA6)*(1+AA5)+AA7,2)</f>
        <v>#VALUE!</v>
      </c>
      <c r="AN27" s="4" t="e">
        <f>ROUND(44*(1+AA6)*(1+AA5)+AA7,2)</f>
        <v>#VALUE!</v>
      </c>
      <c r="AO27" s="4" t="e">
        <f>ROUND(45.44*(1+AA6)*(1+AA5)+AA7,2)</f>
        <v>#VALUE!</v>
      </c>
      <c r="AP27" s="4" t="e">
        <f>ROUND(47.74*(1+AA6)*(1+AA5)+AA7,2)</f>
        <v>#VALUE!</v>
      </c>
      <c r="AQ27" s="4" t="e">
        <f>ROUND(51.62*(1+AA6)*(1+AA5)+AA7,2)</f>
        <v>#VALUE!</v>
      </c>
      <c r="AR27" s="4" t="e">
        <f>ROUND(55.33*(1+AA6)*(1+AA5)+AA7,2)</f>
        <v>#VALUE!</v>
      </c>
      <c r="AS27" s="4" t="e">
        <f>ROUND(63.06*(1+AA6)*(1+AA5)+AA7,2)</f>
        <v>#VALUE!</v>
      </c>
      <c r="AT27" s="4" t="e">
        <f>ROUND(65.26*(1+AA6)*(1+AA5)+AA7,2)</f>
        <v>#VALUE!</v>
      </c>
      <c r="AU27" s="4" t="e">
        <f>ROUND(67.55*(1+AA6)*(1+AA5)+AA7,2)</f>
        <v>#VALUE!</v>
      </c>
      <c r="AV27" s="4" t="e">
        <f>ROUND(71.88*(1+AA6)*(1+AA5)+AA7,2)</f>
        <v>#VALUE!</v>
      </c>
      <c r="AW27" s="4" t="e">
        <f>ROUND(74.51*(1+AA6)*(1+AA5)+AA7,2)</f>
        <v>#VALUE!</v>
      </c>
      <c r="AX27" s="4" t="e">
        <f>ROUND(83.15*(1+AA6)*(1+AA5)+AA7,2)</f>
        <v>#VALUE!</v>
      </c>
      <c r="AY27" s="4" t="e">
        <f>ROUND(91.47*(1+AA6)*(1+AA5)+AA7,2)</f>
        <v>#VALUE!</v>
      </c>
      <c r="AZ27" s="4" t="e">
        <f>ROUND(100.59*(1+AA6)*(1+AA5)+AA7,2)</f>
        <v>#VALUE!</v>
      </c>
      <c r="BA27" s="4"/>
      <c r="BB27" s="4"/>
      <c r="BC27" s="4"/>
      <c r="BD27" s="4"/>
    </row>
    <row r="28" spans="1:56" x14ac:dyDescent="0.3">
      <c r="A28" s="4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5"/>
      <c r="AE28" s="5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</row>
    <row r="29" spans="1:56" ht="18" x14ac:dyDescent="0.35">
      <c r="A29" s="4"/>
      <c r="B29" s="5"/>
      <c r="C29" s="16" t="s">
        <v>17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1"/>
      <c r="Y29" s="11"/>
      <c r="Z29" s="11"/>
      <c r="AA29" s="11"/>
      <c r="AB29" s="11"/>
      <c r="AC29" s="11"/>
      <c r="AD29" s="15"/>
      <c r="AE29" s="5"/>
      <c r="AF29" s="16" t="s">
        <v>17</v>
      </c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4"/>
      <c r="BB29" s="4"/>
      <c r="BC29" s="4"/>
      <c r="BD29" s="4"/>
    </row>
    <row r="30" spans="1:56" ht="18" x14ac:dyDescent="0.35">
      <c r="A30" s="4"/>
      <c r="B30" s="5"/>
      <c r="C30" s="16" t="s">
        <v>18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1"/>
      <c r="Y30" s="11"/>
      <c r="Z30" s="11"/>
      <c r="AA30" s="11"/>
      <c r="AB30" s="11"/>
      <c r="AC30" s="11"/>
      <c r="AD30" s="15"/>
      <c r="AE30" s="5"/>
      <c r="AF30" s="16" t="s">
        <v>18</v>
      </c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4"/>
      <c r="BB30" s="4"/>
      <c r="BC30" s="4"/>
      <c r="BD30" s="4"/>
    </row>
    <row r="31" spans="1:56" ht="18" x14ac:dyDescent="0.35">
      <c r="A31" s="4"/>
      <c r="B31" s="5"/>
      <c r="C31" s="18" t="s">
        <v>14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1"/>
      <c r="Y31" s="11"/>
      <c r="Z31" s="11"/>
      <c r="AA31" s="11"/>
      <c r="AB31" s="11"/>
      <c r="AC31" s="11"/>
      <c r="AD31" s="15"/>
      <c r="AE31" s="5"/>
      <c r="AF31" s="18" t="s">
        <v>14</v>
      </c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4"/>
      <c r="BB31" s="4"/>
      <c r="BC31" s="4"/>
      <c r="BD31" s="4"/>
    </row>
    <row r="32" spans="1:56" x14ac:dyDescent="0.3">
      <c r="A32" s="4"/>
      <c r="B32" s="6"/>
      <c r="C32" s="7" t="s">
        <v>15</v>
      </c>
      <c r="D32" s="7">
        <v>610</v>
      </c>
      <c r="E32" s="7">
        <v>762</v>
      </c>
      <c r="F32" s="7">
        <v>914</v>
      </c>
      <c r="G32" s="7">
        <v>1067</v>
      </c>
      <c r="H32" s="7">
        <v>1219</v>
      </c>
      <c r="I32" s="7">
        <v>1372</v>
      </c>
      <c r="J32" s="7">
        <v>1524</v>
      </c>
      <c r="K32" s="7">
        <v>1676</v>
      </c>
      <c r="L32" s="7">
        <v>1829</v>
      </c>
      <c r="M32" s="7">
        <v>1981</v>
      </c>
      <c r="N32" s="7">
        <v>2134</v>
      </c>
      <c r="O32" s="7">
        <v>2438</v>
      </c>
      <c r="P32" s="7">
        <v>2742</v>
      </c>
      <c r="Q32" s="7">
        <v>3048</v>
      </c>
      <c r="R32" s="7">
        <v>3200</v>
      </c>
      <c r="S32" s="7">
        <v>3429</v>
      </c>
      <c r="T32" s="7">
        <v>3658</v>
      </c>
      <c r="U32" s="7">
        <v>4115</v>
      </c>
      <c r="V32" s="7">
        <v>4500</v>
      </c>
      <c r="W32" s="7">
        <v>5000</v>
      </c>
      <c r="X32" s="11"/>
      <c r="Y32" s="11"/>
      <c r="Z32" s="11"/>
      <c r="AA32" s="11"/>
      <c r="AB32" s="11"/>
      <c r="AC32" s="11"/>
      <c r="AD32" s="15"/>
      <c r="AE32" s="6"/>
      <c r="AF32" s="7" t="s">
        <v>15</v>
      </c>
      <c r="AG32" s="7">
        <v>610</v>
      </c>
      <c r="AH32" s="7">
        <v>762</v>
      </c>
      <c r="AI32" s="7">
        <v>914</v>
      </c>
      <c r="AJ32" s="7">
        <v>1067</v>
      </c>
      <c r="AK32" s="7">
        <v>1219</v>
      </c>
      <c r="AL32" s="7">
        <v>1372</v>
      </c>
      <c r="AM32" s="7">
        <v>1524</v>
      </c>
      <c r="AN32" s="7">
        <v>1676</v>
      </c>
      <c r="AO32" s="7">
        <v>1829</v>
      </c>
      <c r="AP32" s="7">
        <v>1981</v>
      </c>
      <c r="AQ32" s="7">
        <v>2134</v>
      </c>
      <c r="AR32" s="7">
        <v>2438</v>
      </c>
      <c r="AS32" s="7">
        <v>2742</v>
      </c>
      <c r="AT32" s="7">
        <v>3048</v>
      </c>
      <c r="AU32" s="7">
        <v>3200</v>
      </c>
      <c r="AV32" s="7">
        <v>3429</v>
      </c>
      <c r="AW32" s="7">
        <v>3658</v>
      </c>
      <c r="AX32" s="7">
        <v>4115</v>
      </c>
      <c r="AY32" s="7">
        <v>4500</v>
      </c>
      <c r="AZ32" s="7">
        <v>5000</v>
      </c>
      <c r="BA32" s="4"/>
      <c r="BB32" s="4"/>
      <c r="BC32" s="4"/>
      <c r="BD32" s="4"/>
    </row>
    <row r="33" spans="1:56" x14ac:dyDescent="0.3">
      <c r="A33" s="4"/>
      <c r="B33" s="19" t="s">
        <v>16</v>
      </c>
      <c r="C33" s="7">
        <v>610</v>
      </c>
      <c r="D33" s="4">
        <v>16.16</v>
      </c>
      <c r="E33" s="4">
        <v>17.239999999999998</v>
      </c>
      <c r="F33" s="4">
        <v>18.13</v>
      </c>
      <c r="G33" s="4">
        <v>18.920000000000002</v>
      </c>
      <c r="H33" s="4">
        <v>20.16</v>
      </c>
      <c r="I33" s="4">
        <v>20.84</v>
      </c>
      <c r="J33" s="4">
        <v>21.89</v>
      </c>
      <c r="K33" s="4">
        <v>22.91</v>
      </c>
      <c r="L33" s="4">
        <v>23.57</v>
      </c>
      <c r="M33" s="4">
        <v>24.46</v>
      </c>
      <c r="N33" s="4">
        <v>26.19</v>
      </c>
      <c r="O33" s="4">
        <v>27.76</v>
      </c>
      <c r="P33" s="4">
        <v>30.62</v>
      </c>
      <c r="Q33" s="4">
        <v>31.43</v>
      </c>
      <c r="R33" s="4">
        <v>32.14</v>
      </c>
      <c r="S33" s="4">
        <v>33.61</v>
      </c>
      <c r="T33" s="4">
        <v>34.770000000000003</v>
      </c>
      <c r="U33" s="4">
        <v>37.5</v>
      </c>
      <c r="V33" s="4">
        <v>41.24</v>
      </c>
      <c r="W33" s="4">
        <v>45.36</v>
      </c>
      <c r="X33" s="11"/>
      <c r="Y33" s="11"/>
      <c r="Z33" s="11"/>
      <c r="AA33" s="11"/>
      <c r="AB33" s="11"/>
      <c r="AC33" s="11"/>
      <c r="AD33" s="15"/>
      <c r="AE33" s="19" t="s">
        <v>16</v>
      </c>
      <c r="AF33" s="7">
        <v>610</v>
      </c>
      <c r="AG33" s="4" t="e">
        <f>ROUND(16.16*(1+AA6)*(1+AA5)+AA7,2)</f>
        <v>#VALUE!</v>
      </c>
      <c r="AH33" s="4" t="e">
        <f>ROUND(17.24*(1+AA6)*(1+AA5)+AA7,2)</f>
        <v>#VALUE!</v>
      </c>
      <c r="AI33" s="4" t="e">
        <f>ROUND(18.13*(1+AA6)*(1+AA5)+AA7,2)</f>
        <v>#VALUE!</v>
      </c>
      <c r="AJ33" s="4" t="e">
        <f>ROUND(18.92*(1+AA6)*(1+AA5)+AA7,2)</f>
        <v>#VALUE!</v>
      </c>
      <c r="AK33" s="4" t="e">
        <f>ROUND(20.16*(1+AA6)*(1+AA5)+AA7,2)</f>
        <v>#VALUE!</v>
      </c>
      <c r="AL33" s="4" t="e">
        <f>ROUND(20.84*(1+AA6)*(1+AA5)+AA7,2)</f>
        <v>#VALUE!</v>
      </c>
      <c r="AM33" s="4" t="e">
        <f>ROUND(21.89*(1+AA6)*(1+AA5)+AA7,2)</f>
        <v>#VALUE!</v>
      </c>
      <c r="AN33" s="4" t="e">
        <f>ROUND(22.91*(1+AA6)*(1+AA5)+AA7,2)</f>
        <v>#VALUE!</v>
      </c>
      <c r="AO33" s="4" t="e">
        <f>ROUND(23.57*(1+AA6)*(1+AA5)+AA7,2)</f>
        <v>#VALUE!</v>
      </c>
      <c r="AP33" s="4" t="e">
        <f>ROUND(24.46*(1+AA6)*(1+AA5)+AA7,2)</f>
        <v>#VALUE!</v>
      </c>
      <c r="AQ33" s="4" t="e">
        <f>ROUND(26.19*(1+AA6)*(1+AA5)+AA7,2)</f>
        <v>#VALUE!</v>
      </c>
      <c r="AR33" s="4" t="e">
        <f>ROUND(27.76*(1+AA6)*(1+AA5)+AA7,2)</f>
        <v>#VALUE!</v>
      </c>
      <c r="AS33" s="4" t="e">
        <f>ROUND(30.62*(1+AA6)*(1+AA5)+AA7,2)</f>
        <v>#VALUE!</v>
      </c>
      <c r="AT33" s="4" t="e">
        <f>ROUND(31.43*(1+AA6)*(1+AA5)+AA7,2)</f>
        <v>#VALUE!</v>
      </c>
      <c r="AU33" s="4" t="e">
        <f>ROUND(32.14*(1+AA6)*(1+AA5)+AA7,2)</f>
        <v>#VALUE!</v>
      </c>
      <c r="AV33" s="4" t="e">
        <f>ROUND(33.61*(1+AA6)*(1+AA5)+AA7,2)</f>
        <v>#VALUE!</v>
      </c>
      <c r="AW33" s="4" t="e">
        <f>ROUND(34.77*(1+AA6)*(1+AA5)+AA7,2)</f>
        <v>#VALUE!</v>
      </c>
      <c r="AX33" s="4" t="e">
        <f>ROUND(37.5*(1+AA6)*(1+AA5)+AA7,2)</f>
        <v>#VALUE!</v>
      </c>
      <c r="AY33" s="4" t="e">
        <f>ROUND(41.24*(1+AA6)*(1+AA5)+AA7,2)</f>
        <v>#VALUE!</v>
      </c>
      <c r="AZ33" s="4" t="e">
        <f>ROUND(45.36*(1+AA6)*(1+AA5)+AA7,2)</f>
        <v>#VALUE!</v>
      </c>
      <c r="BA33" s="4"/>
      <c r="BB33" s="4"/>
      <c r="BC33" s="4"/>
      <c r="BD33" s="4"/>
    </row>
    <row r="34" spans="1:56" x14ac:dyDescent="0.3">
      <c r="A34" s="4"/>
      <c r="B34" s="19"/>
      <c r="C34" s="7">
        <v>762</v>
      </c>
      <c r="D34" s="4">
        <v>16.82</v>
      </c>
      <c r="E34" s="4">
        <v>17.78</v>
      </c>
      <c r="F34" s="4">
        <v>18.72</v>
      </c>
      <c r="G34" s="4">
        <v>19.579999999999998</v>
      </c>
      <c r="H34" s="4">
        <v>20.91</v>
      </c>
      <c r="I34" s="4">
        <v>21.67</v>
      </c>
      <c r="J34" s="4">
        <v>22.84</v>
      </c>
      <c r="K34" s="4">
        <v>23.89</v>
      </c>
      <c r="L34" s="4">
        <v>24.61</v>
      </c>
      <c r="M34" s="4">
        <v>25.58</v>
      </c>
      <c r="N34" s="4">
        <v>27.38</v>
      </c>
      <c r="O34" s="4">
        <v>29.1</v>
      </c>
      <c r="P34" s="4">
        <v>32.21</v>
      </c>
      <c r="Q34" s="4">
        <v>33.090000000000003</v>
      </c>
      <c r="R34" s="4">
        <v>33.799999999999997</v>
      </c>
      <c r="S34" s="4">
        <v>35.46</v>
      </c>
      <c r="T34" s="4">
        <v>36.64</v>
      </c>
      <c r="U34" s="4">
        <v>39.92</v>
      </c>
      <c r="V34" s="4">
        <v>43.9</v>
      </c>
      <c r="W34" s="4">
        <v>48.32</v>
      </c>
      <c r="X34" s="11"/>
      <c r="Y34" s="11"/>
      <c r="Z34" s="11"/>
      <c r="AA34" s="11"/>
      <c r="AB34" s="11"/>
      <c r="AC34" s="11"/>
      <c r="AD34" s="15"/>
      <c r="AE34" s="19"/>
      <c r="AF34" s="7">
        <v>762</v>
      </c>
      <c r="AG34" s="4" t="e">
        <f>ROUND(16.82*(1+AA6)*(1+AA5)+AA7,2)</f>
        <v>#VALUE!</v>
      </c>
      <c r="AH34" s="4" t="e">
        <f>ROUND(17.78*(1+AA6)*(1+AA5)+AA7,2)</f>
        <v>#VALUE!</v>
      </c>
      <c r="AI34" s="4" t="e">
        <f>ROUND(18.72*(1+AA6)*(1+AA5)+AA7,2)</f>
        <v>#VALUE!</v>
      </c>
      <c r="AJ34" s="4" t="e">
        <f>ROUND(19.58*(1+AA6)*(1+AA5)+AA7,2)</f>
        <v>#VALUE!</v>
      </c>
      <c r="AK34" s="4" t="e">
        <f>ROUND(20.91*(1+AA6)*(1+AA5)+AA7,2)</f>
        <v>#VALUE!</v>
      </c>
      <c r="AL34" s="4" t="e">
        <f>ROUND(21.67*(1+AA6)*(1+AA5)+AA7,2)</f>
        <v>#VALUE!</v>
      </c>
      <c r="AM34" s="4" t="e">
        <f>ROUND(22.84*(1+AA6)*(1+AA5)+AA7,2)</f>
        <v>#VALUE!</v>
      </c>
      <c r="AN34" s="4" t="e">
        <f>ROUND(23.89*(1+AA6)*(1+AA5)+AA7,2)</f>
        <v>#VALUE!</v>
      </c>
      <c r="AO34" s="4" t="e">
        <f>ROUND(24.61*(1+AA6)*(1+AA5)+AA7,2)</f>
        <v>#VALUE!</v>
      </c>
      <c r="AP34" s="4" t="e">
        <f>ROUND(25.58*(1+AA6)*(1+AA5)+AA7,2)</f>
        <v>#VALUE!</v>
      </c>
      <c r="AQ34" s="4" t="e">
        <f>ROUND(27.38*(1+AA6)*(1+AA5)+AA7,2)</f>
        <v>#VALUE!</v>
      </c>
      <c r="AR34" s="4" t="e">
        <f>ROUND(29.1*(1+AA6)*(1+AA5)+AA7,2)</f>
        <v>#VALUE!</v>
      </c>
      <c r="AS34" s="4" t="e">
        <f>ROUND(32.21*(1+AA6)*(1+AA5)+AA7,2)</f>
        <v>#VALUE!</v>
      </c>
      <c r="AT34" s="4" t="e">
        <f>ROUND(33.09*(1+AA6)*(1+AA5)+AA7,2)</f>
        <v>#VALUE!</v>
      </c>
      <c r="AU34" s="4" t="e">
        <f>ROUND(33.8*(1+AA6)*(1+AA5)+AA7,2)</f>
        <v>#VALUE!</v>
      </c>
      <c r="AV34" s="4" t="e">
        <f>ROUND(35.46*(1+AA6)*(1+AA5)+AA7,2)</f>
        <v>#VALUE!</v>
      </c>
      <c r="AW34" s="4" t="e">
        <f>ROUND(36.64*(1+AA6)*(1+AA5)+AA7,2)</f>
        <v>#VALUE!</v>
      </c>
      <c r="AX34" s="4" t="e">
        <f>ROUND(39.92*(1+AA6)*(1+AA5)+AA7,2)</f>
        <v>#VALUE!</v>
      </c>
      <c r="AY34" s="4" t="e">
        <f>ROUND(43.9*(1+AA6)*(1+AA5)+AA7,2)</f>
        <v>#VALUE!</v>
      </c>
      <c r="AZ34" s="4" t="e">
        <f>ROUND(48.32*(1+AA6)*(1+AA5)+AA7,2)</f>
        <v>#VALUE!</v>
      </c>
      <c r="BA34" s="4"/>
      <c r="BB34" s="4"/>
      <c r="BC34" s="4"/>
      <c r="BD34" s="4"/>
    </row>
    <row r="35" spans="1:56" x14ac:dyDescent="0.3">
      <c r="A35" s="4"/>
      <c r="B35" s="19"/>
      <c r="C35" s="7">
        <v>914</v>
      </c>
      <c r="D35" s="4">
        <v>17.29</v>
      </c>
      <c r="E35" s="4">
        <v>18.29</v>
      </c>
      <c r="F35" s="4">
        <v>19.309999999999999</v>
      </c>
      <c r="G35" s="4">
        <v>20.2</v>
      </c>
      <c r="H35" s="4">
        <v>21.7</v>
      </c>
      <c r="I35" s="4">
        <v>22.48</v>
      </c>
      <c r="J35" s="4">
        <v>23.78</v>
      </c>
      <c r="K35" s="4">
        <v>24.89</v>
      </c>
      <c r="L35" s="4">
        <v>25.67</v>
      </c>
      <c r="M35" s="4">
        <v>26.67</v>
      </c>
      <c r="N35" s="4">
        <v>28.62</v>
      </c>
      <c r="O35" s="4">
        <v>30.39</v>
      </c>
      <c r="P35" s="4">
        <v>33.78</v>
      </c>
      <c r="Q35" s="4">
        <v>34.75</v>
      </c>
      <c r="R35" s="4">
        <v>35.51</v>
      </c>
      <c r="S35" s="4">
        <v>37.28</v>
      </c>
      <c r="T35" s="4">
        <v>38.58</v>
      </c>
      <c r="U35" s="4">
        <v>42.1</v>
      </c>
      <c r="V35" s="4">
        <v>46.35</v>
      </c>
      <c r="W35" s="4">
        <v>51.01</v>
      </c>
      <c r="X35" s="11"/>
      <c r="Y35" s="11"/>
      <c r="Z35" s="11"/>
      <c r="AA35" s="11"/>
      <c r="AB35" s="11"/>
      <c r="AC35" s="11"/>
      <c r="AD35" s="15"/>
      <c r="AE35" s="19"/>
      <c r="AF35" s="7">
        <v>914</v>
      </c>
      <c r="AG35" s="4" t="e">
        <f>ROUND(17.29*(1+AA6)*(1+AA5)+AA7,2)</f>
        <v>#VALUE!</v>
      </c>
      <c r="AH35" s="4" t="e">
        <f>ROUND(18.29*(1+AA6)*(1+AA5)+AA7,2)</f>
        <v>#VALUE!</v>
      </c>
      <c r="AI35" s="4" t="e">
        <f>ROUND(19.31*(1+AA6)*(1+AA5)+AA7,2)</f>
        <v>#VALUE!</v>
      </c>
      <c r="AJ35" s="4" t="e">
        <f>ROUND(20.2*(1+AA6)*(1+AA5)+AA7,2)</f>
        <v>#VALUE!</v>
      </c>
      <c r="AK35" s="4" t="e">
        <f>ROUND(21.7*(1+AA6)*(1+AA5)+AA7,2)</f>
        <v>#VALUE!</v>
      </c>
      <c r="AL35" s="4" t="e">
        <f>ROUND(22.48*(1+AA6)*(1+AA5)+AA7,2)</f>
        <v>#VALUE!</v>
      </c>
      <c r="AM35" s="4" t="e">
        <f>ROUND(23.78*(1+AA6)*(1+AA5)+AA7,2)</f>
        <v>#VALUE!</v>
      </c>
      <c r="AN35" s="4" t="e">
        <f>ROUND(24.89*(1+AA6)*(1+AA5)+AA7,2)</f>
        <v>#VALUE!</v>
      </c>
      <c r="AO35" s="4" t="e">
        <f>ROUND(25.67*(1+AA6)*(1+AA5)+AA7,2)</f>
        <v>#VALUE!</v>
      </c>
      <c r="AP35" s="4" t="e">
        <f>ROUND(26.67*(1+AA6)*(1+AA5)+AA7,2)</f>
        <v>#VALUE!</v>
      </c>
      <c r="AQ35" s="4" t="e">
        <f>ROUND(28.62*(1+AA6)*(1+AA5)+AA7,2)</f>
        <v>#VALUE!</v>
      </c>
      <c r="AR35" s="4" t="e">
        <f>ROUND(30.39*(1+AA6)*(1+AA5)+AA7,2)</f>
        <v>#VALUE!</v>
      </c>
      <c r="AS35" s="4" t="e">
        <f>ROUND(33.78*(1+AA6)*(1+AA5)+AA7,2)</f>
        <v>#VALUE!</v>
      </c>
      <c r="AT35" s="4" t="e">
        <f>ROUND(34.75*(1+AA6)*(1+AA5)+AA7,2)</f>
        <v>#VALUE!</v>
      </c>
      <c r="AU35" s="4" t="e">
        <f>ROUND(35.51*(1+AA6)*(1+AA5)+AA7,2)</f>
        <v>#VALUE!</v>
      </c>
      <c r="AV35" s="4" t="e">
        <f>ROUND(37.28*(1+AA6)*(1+AA5)+AA7,2)</f>
        <v>#VALUE!</v>
      </c>
      <c r="AW35" s="4" t="e">
        <f>ROUND(38.58*(1+AA6)*(1+AA5)+AA7,2)</f>
        <v>#VALUE!</v>
      </c>
      <c r="AX35" s="4" t="e">
        <f>ROUND(42.1*(1+AA6)*(1+AA5)+AA7,2)</f>
        <v>#VALUE!</v>
      </c>
      <c r="AY35" s="4" t="e">
        <f>ROUND(46.35*(1+AA6)*(1+AA5)+AA7,2)</f>
        <v>#VALUE!</v>
      </c>
      <c r="AZ35" s="4" t="e">
        <f>ROUND(51.01*(1+AA6)*(1+AA5)+AA7,2)</f>
        <v>#VALUE!</v>
      </c>
      <c r="BA35" s="4"/>
      <c r="BB35" s="4"/>
      <c r="BC35" s="4"/>
      <c r="BD35" s="4"/>
    </row>
    <row r="36" spans="1:56" x14ac:dyDescent="0.3">
      <c r="A36" s="4"/>
      <c r="B36" s="19"/>
      <c r="C36" s="7">
        <v>1067</v>
      </c>
      <c r="D36" s="4">
        <v>17.75</v>
      </c>
      <c r="E36" s="4">
        <v>18.850000000000001</v>
      </c>
      <c r="F36" s="4">
        <v>19.91</v>
      </c>
      <c r="G36" s="4">
        <v>20.84</v>
      </c>
      <c r="H36" s="4">
        <v>22.49</v>
      </c>
      <c r="I36" s="4">
        <v>23.35</v>
      </c>
      <c r="J36" s="4">
        <v>24.71</v>
      </c>
      <c r="K36" s="4">
        <v>25.9</v>
      </c>
      <c r="L36" s="4">
        <v>26.7</v>
      </c>
      <c r="M36" s="4">
        <v>27.8</v>
      </c>
      <c r="N36" s="4">
        <v>29.83</v>
      </c>
      <c r="O36" s="4">
        <v>31.76</v>
      </c>
      <c r="P36" s="4">
        <v>35.36</v>
      </c>
      <c r="Q36" s="4">
        <v>36.4</v>
      </c>
      <c r="R36" s="4">
        <v>37.21</v>
      </c>
      <c r="S36" s="4">
        <v>39.130000000000003</v>
      </c>
      <c r="T36" s="4">
        <v>40.49</v>
      </c>
      <c r="U36" s="4">
        <v>44.33</v>
      </c>
      <c r="V36" s="4">
        <v>48.78</v>
      </c>
      <c r="W36" s="4">
        <v>53.66</v>
      </c>
      <c r="X36" s="11"/>
      <c r="Y36" s="11"/>
      <c r="Z36" s="11"/>
      <c r="AA36" s="11"/>
      <c r="AB36" s="11"/>
      <c r="AC36" s="11"/>
      <c r="AD36" s="15"/>
      <c r="AE36" s="19"/>
      <c r="AF36" s="7">
        <v>1067</v>
      </c>
      <c r="AG36" s="4" t="e">
        <f>ROUND(17.75*(1+AA6)*(1+AA5)+AA7,2)</f>
        <v>#VALUE!</v>
      </c>
      <c r="AH36" s="4" t="e">
        <f>ROUND(18.85*(1+AA6)*(1+AA5)+AA7,2)</f>
        <v>#VALUE!</v>
      </c>
      <c r="AI36" s="4" t="e">
        <f>ROUND(19.91*(1+AA6)*(1+AA5)+AA7,2)</f>
        <v>#VALUE!</v>
      </c>
      <c r="AJ36" s="4" t="e">
        <f>ROUND(20.84*(1+AA6)*(1+AA5)+AA7,2)</f>
        <v>#VALUE!</v>
      </c>
      <c r="AK36" s="4" t="e">
        <f>ROUND(22.49*(1+AA6)*(1+AA5)+AA7,2)</f>
        <v>#VALUE!</v>
      </c>
      <c r="AL36" s="4" t="e">
        <f>ROUND(23.35*(1+AA6)*(1+AA5)+AA7,2)</f>
        <v>#VALUE!</v>
      </c>
      <c r="AM36" s="4" t="e">
        <f>ROUND(24.71*(1+AA6)*(1+AA5)+AA7,2)</f>
        <v>#VALUE!</v>
      </c>
      <c r="AN36" s="4" t="e">
        <f>ROUND(25.9*(1+AA6)*(1+AA5)+AA7,2)</f>
        <v>#VALUE!</v>
      </c>
      <c r="AO36" s="4" t="e">
        <f>ROUND(26.7*(1+AA6)*(1+AA5)+AA7,2)</f>
        <v>#VALUE!</v>
      </c>
      <c r="AP36" s="4" t="e">
        <f>ROUND(27.8*(1+AA6)*(1+AA5)+AA7,2)</f>
        <v>#VALUE!</v>
      </c>
      <c r="AQ36" s="4" t="e">
        <f>ROUND(29.83*(1+AA6)*(1+AA5)+AA7,2)</f>
        <v>#VALUE!</v>
      </c>
      <c r="AR36" s="4" t="e">
        <f>ROUND(31.76*(1+AA6)*(1+AA5)+AA7,2)</f>
        <v>#VALUE!</v>
      </c>
      <c r="AS36" s="4" t="e">
        <f>ROUND(35.36*(1+AA6)*(1+AA5)+AA7,2)</f>
        <v>#VALUE!</v>
      </c>
      <c r="AT36" s="4" t="e">
        <f>ROUND(36.4*(1+AA6)*(1+AA5)+AA7,2)</f>
        <v>#VALUE!</v>
      </c>
      <c r="AU36" s="4" t="e">
        <f>ROUND(37.21*(1+AA6)*(1+AA5)+AA7,2)</f>
        <v>#VALUE!</v>
      </c>
      <c r="AV36" s="4" t="e">
        <f>ROUND(39.13*(1+AA6)*(1+AA5)+AA7,2)</f>
        <v>#VALUE!</v>
      </c>
      <c r="AW36" s="4" t="e">
        <f>ROUND(40.49*(1+AA6)*(1+AA5)+AA7,2)</f>
        <v>#VALUE!</v>
      </c>
      <c r="AX36" s="4" t="e">
        <f>ROUND(44.33*(1+AA6)*(1+AA5)+AA7,2)</f>
        <v>#VALUE!</v>
      </c>
      <c r="AY36" s="4" t="e">
        <f>ROUND(48.78*(1+AA6)*(1+AA5)+AA7,2)</f>
        <v>#VALUE!</v>
      </c>
      <c r="AZ36" s="4" t="e">
        <f>ROUND(53.66*(1+AA6)*(1+AA5)+AA7,2)</f>
        <v>#VALUE!</v>
      </c>
      <c r="BA36" s="4"/>
      <c r="BB36" s="4"/>
      <c r="BC36" s="4"/>
      <c r="BD36" s="4"/>
    </row>
    <row r="37" spans="1:56" x14ac:dyDescent="0.3">
      <c r="A37" s="4"/>
      <c r="B37" s="19"/>
      <c r="C37" s="7">
        <v>1219</v>
      </c>
      <c r="D37" s="4">
        <v>18.170000000000002</v>
      </c>
      <c r="E37" s="4">
        <v>19.34</v>
      </c>
      <c r="F37" s="4">
        <v>20.5</v>
      </c>
      <c r="G37" s="4">
        <v>21.5</v>
      </c>
      <c r="H37" s="4">
        <v>23.3</v>
      </c>
      <c r="I37" s="4">
        <v>24.14</v>
      </c>
      <c r="J37" s="4">
        <v>25.63</v>
      </c>
      <c r="K37" s="4">
        <v>26.89</v>
      </c>
      <c r="L37" s="4">
        <v>27.75</v>
      </c>
      <c r="M37" s="4">
        <v>28.91</v>
      </c>
      <c r="N37" s="4">
        <v>31.08</v>
      </c>
      <c r="O37" s="4">
        <v>33.07</v>
      </c>
      <c r="P37" s="4">
        <v>36.94</v>
      </c>
      <c r="Q37" s="4">
        <v>38.090000000000003</v>
      </c>
      <c r="R37" s="4">
        <v>38.89</v>
      </c>
      <c r="S37" s="4">
        <v>40.98</v>
      </c>
      <c r="T37" s="4">
        <v>42.41</v>
      </c>
      <c r="U37" s="4">
        <v>46.53</v>
      </c>
      <c r="V37" s="4">
        <v>51.21</v>
      </c>
      <c r="W37" s="4">
        <v>56.3</v>
      </c>
      <c r="X37" s="11"/>
      <c r="Y37" s="11"/>
      <c r="Z37" s="11"/>
      <c r="AA37" s="11"/>
      <c r="AB37" s="11"/>
      <c r="AC37" s="11"/>
      <c r="AD37" s="15"/>
      <c r="AE37" s="19"/>
      <c r="AF37" s="7">
        <v>1219</v>
      </c>
      <c r="AG37" s="4" t="e">
        <f>ROUND(18.17*(1+AA6)*(1+AA5)+AA7,2)</f>
        <v>#VALUE!</v>
      </c>
      <c r="AH37" s="4" t="e">
        <f>ROUND(19.34*(1+AA6)*(1+AA5)+AA7,2)</f>
        <v>#VALUE!</v>
      </c>
      <c r="AI37" s="4" t="e">
        <f>ROUND(20.5*(1+AA6)*(1+AA5)+AA7,2)</f>
        <v>#VALUE!</v>
      </c>
      <c r="AJ37" s="4" t="e">
        <f>ROUND(21.5*(1+AA6)*(1+AA5)+AA7,2)</f>
        <v>#VALUE!</v>
      </c>
      <c r="AK37" s="4" t="e">
        <f>ROUND(23.3*(1+AA6)*(1+AA5)+AA7,2)</f>
        <v>#VALUE!</v>
      </c>
      <c r="AL37" s="4" t="e">
        <f>ROUND(24.14*(1+AA6)*(1+AA5)+AA7,2)</f>
        <v>#VALUE!</v>
      </c>
      <c r="AM37" s="4" t="e">
        <f>ROUND(25.63*(1+AA6)*(1+AA5)+AA7,2)</f>
        <v>#VALUE!</v>
      </c>
      <c r="AN37" s="4" t="e">
        <f>ROUND(26.89*(1+AA6)*(1+AA5)+AA7,2)</f>
        <v>#VALUE!</v>
      </c>
      <c r="AO37" s="4" t="e">
        <f>ROUND(27.75*(1+AA6)*(1+AA5)+AA7,2)</f>
        <v>#VALUE!</v>
      </c>
      <c r="AP37" s="4" t="e">
        <f>ROUND(28.91*(1+AA6)*(1+AA5)+AA7,2)</f>
        <v>#VALUE!</v>
      </c>
      <c r="AQ37" s="4" t="e">
        <f>ROUND(31.08*(1+AA6)*(1+AA5)+AA7,2)</f>
        <v>#VALUE!</v>
      </c>
      <c r="AR37" s="4" t="e">
        <f>ROUND(33.07*(1+AA6)*(1+AA5)+AA7,2)</f>
        <v>#VALUE!</v>
      </c>
      <c r="AS37" s="4" t="e">
        <f>ROUND(36.94*(1+AA6)*(1+AA5)+AA7,2)</f>
        <v>#VALUE!</v>
      </c>
      <c r="AT37" s="4" t="e">
        <f>ROUND(38.09*(1+AA6)*(1+AA5)+AA7,2)</f>
        <v>#VALUE!</v>
      </c>
      <c r="AU37" s="4" t="e">
        <f>ROUND(38.89*(1+AA6)*(1+AA5)+AA7,2)</f>
        <v>#VALUE!</v>
      </c>
      <c r="AV37" s="4" t="e">
        <f>ROUND(40.98*(1+AA6)*(1+AA5)+AA7,2)</f>
        <v>#VALUE!</v>
      </c>
      <c r="AW37" s="4" t="e">
        <f>ROUND(42.41*(1+AA6)*(1+AA5)+AA7,2)</f>
        <v>#VALUE!</v>
      </c>
      <c r="AX37" s="4" t="e">
        <f>ROUND(46.53*(1+AA6)*(1+AA5)+AA7,2)</f>
        <v>#VALUE!</v>
      </c>
      <c r="AY37" s="4" t="e">
        <f>ROUND(51.21*(1+AA6)*(1+AA5)+AA7,2)</f>
        <v>#VALUE!</v>
      </c>
      <c r="AZ37" s="4" t="e">
        <f>ROUND(56.3*(1+AA6)*(1+AA5)+AA7,2)</f>
        <v>#VALUE!</v>
      </c>
      <c r="BA37" s="4"/>
      <c r="BB37" s="4"/>
      <c r="BC37" s="4"/>
      <c r="BD37" s="4"/>
    </row>
    <row r="38" spans="1:56" x14ac:dyDescent="0.3">
      <c r="A38" s="4"/>
      <c r="B38" s="19"/>
      <c r="C38" s="7">
        <v>1524</v>
      </c>
      <c r="D38" s="4">
        <v>19.079999999999998</v>
      </c>
      <c r="E38" s="4">
        <v>20.399999999999999</v>
      </c>
      <c r="F38" s="4">
        <v>21.7</v>
      </c>
      <c r="G38" s="4">
        <v>22.75</v>
      </c>
      <c r="H38" s="4">
        <v>24.85</v>
      </c>
      <c r="I38" s="4">
        <v>25.76</v>
      </c>
      <c r="J38" s="4">
        <v>27.52</v>
      </c>
      <c r="K38" s="4">
        <v>28.91</v>
      </c>
      <c r="L38" s="4">
        <v>29.82</v>
      </c>
      <c r="M38" s="4">
        <v>31.14</v>
      </c>
      <c r="N38" s="4">
        <v>33.51</v>
      </c>
      <c r="O38" s="4">
        <v>35.729999999999997</v>
      </c>
      <c r="P38" s="4">
        <v>40.17</v>
      </c>
      <c r="Q38" s="4">
        <v>41.4</v>
      </c>
      <c r="R38" s="4">
        <v>42.33</v>
      </c>
      <c r="S38" s="4">
        <v>44.66</v>
      </c>
      <c r="T38" s="4">
        <v>46.26</v>
      </c>
      <c r="U38" s="4">
        <v>50.97</v>
      </c>
      <c r="V38" s="4">
        <v>56.07</v>
      </c>
      <c r="W38" s="4">
        <v>61.68</v>
      </c>
      <c r="X38" s="11"/>
      <c r="Y38" s="11"/>
      <c r="Z38" s="11"/>
      <c r="AA38" s="11"/>
      <c r="AB38" s="11"/>
      <c r="AC38" s="11"/>
      <c r="AD38" s="15"/>
      <c r="AE38" s="19"/>
      <c r="AF38" s="7">
        <v>1524</v>
      </c>
      <c r="AG38" s="4" t="e">
        <f>ROUND(19.08*(1+AA6)*(1+AA5)+AA7,2)</f>
        <v>#VALUE!</v>
      </c>
      <c r="AH38" s="4" t="e">
        <f>ROUND(20.4*(1+AA6)*(1+AA5)+AA7,2)</f>
        <v>#VALUE!</v>
      </c>
      <c r="AI38" s="4" t="e">
        <f>ROUND(21.7*(1+AA6)*(1+AA5)+AA7,2)</f>
        <v>#VALUE!</v>
      </c>
      <c r="AJ38" s="4" t="e">
        <f>ROUND(22.75*(1+AA6)*(1+AA5)+AA7,2)</f>
        <v>#VALUE!</v>
      </c>
      <c r="AK38" s="4" t="e">
        <f>ROUND(24.85*(1+AA6)*(1+AA5)+AA7,2)</f>
        <v>#VALUE!</v>
      </c>
      <c r="AL38" s="4" t="e">
        <f>ROUND(25.76*(1+AA6)*(1+AA5)+AA7,2)</f>
        <v>#VALUE!</v>
      </c>
      <c r="AM38" s="4" t="e">
        <f>ROUND(27.52*(1+AA6)*(1+AA5)+AA7,2)</f>
        <v>#VALUE!</v>
      </c>
      <c r="AN38" s="4" t="e">
        <f>ROUND(28.91*(1+AA6)*(1+AA5)+AA7,2)</f>
        <v>#VALUE!</v>
      </c>
      <c r="AO38" s="4" t="e">
        <f>ROUND(29.82*(1+AA6)*(1+AA5)+AA7,2)</f>
        <v>#VALUE!</v>
      </c>
      <c r="AP38" s="4" t="e">
        <f>ROUND(31.14*(1+AA6)*(1+AA5)+AA7,2)</f>
        <v>#VALUE!</v>
      </c>
      <c r="AQ38" s="4" t="e">
        <f>ROUND(33.51*(1+AA6)*(1+AA5)+AA7,2)</f>
        <v>#VALUE!</v>
      </c>
      <c r="AR38" s="4" t="e">
        <f>ROUND(35.73*(1+AA6)*(1+AA5)+AA7,2)</f>
        <v>#VALUE!</v>
      </c>
      <c r="AS38" s="4" t="e">
        <f>ROUND(40.17*(1+AA6)*(1+AA5)+AA7,2)</f>
        <v>#VALUE!</v>
      </c>
      <c r="AT38" s="4" t="e">
        <f>ROUND(41.4*(1+AA6)*(1+AA5)+AA7,2)</f>
        <v>#VALUE!</v>
      </c>
      <c r="AU38" s="4" t="e">
        <f>ROUND(42.33*(1+AA6)*(1+AA5)+AA7,2)</f>
        <v>#VALUE!</v>
      </c>
      <c r="AV38" s="4" t="e">
        <f>ROUND(44.66*(1+AA6)*(1+AA5)+AA7,2)</f>
        <v>#VALUE!</v>
      </c>
      <c r="AW38" s="4" t="e">
        <f>ROUND(46.26*(1+AA6)*(1+AA5)+AA7,2)</f>
        <v>#VALUE!</v>
      </c>
      <c r="AX38" s="4" t="e">
        <f>ROUND(50.97*(1+AA6)*(1+AA5)+AA7,2)</f>
        <v>#VALUE!</v>
      </c>
      <c r="AY38" s="4" t="e">
        <f>ROUND(56.07*(1+AA6)*(1+AA5)+AA7,2)</f>
        <v>#VALUE!</v>
      </c>
      <c r="AZ38" s="4" t="e">
        <f>ROUND(61.68*(1+AA6)*(1+AA5)+AA7,2)</f>
        <v>#VALUE!</v>
      </c>
      <c r="BA38" s="4"/>
      <c r="BB38" s="4"/>
      <c r="BC38" s="4"/>
      <c r="BD38" s="4"/>
    </row>
    <row r="39" spans="1:56" x14ac:dyDescent="0.3">
      <c r="A39" s="4"/>
      <c r="B39" s="19"/>
      <c r="C39" s="7">
        <v>1829</v>
      </c>
      <c r="D39" s="4">
        <v>20.03</v>
      </c>
      <c r="E39" s="4">
        <v>21.48</v>
      </c>
      <c r="F39" s="4">
        <v>22.95</v>
      </c>
      <c r="G39" s="4">
        <v>24.01</v>
      </c>
      <c r="H39" s="4">
        <v>26.44</v>
      </c>
      <c r="I39" s="4">
        <v>27.4</v>
      </c>
      <c r="J39" s="4">
        <v>29.36</v>
      </c>
      <c r="K39" s="4">
        <v>30.91</v>
      </c>
      <c r="L39" s="4">
        <v>31.91</v>
      </c>
      <c r="M39" s="4">
        <v>33.340000000000003</v>
      </c>
      <c r="N39" s="4">
        <v>35.96</v>
      </c>
      <c r="O39" s="4">
        <v>38.4</v>
      </c>
      <c r="P39" s="4">
        <v>43.3</v>
      </c>
      <c r="Q39" s="4">
        <v>44.7</v>
      </c>
      <c r="R39" s="4">
        <v>45.71</v>
      </c>
      <c r="S39" s="4">
        <v>48.37</v>
      </c>
      <c r="T39" s="4">
        <v>50.07</v>
      </c>
      <c r="U39" s="4">
        <v>55.39</v>
      </c>
      <c r="V39" s="4">
        <v>60.93</v>
      </c>
      <c r="W39" s="4">
        <v>67.03</v>
      </c>
      <c r="X39" s="11"/>
      <c r="Y39" s="11"/>
      <c r="Z39" s="11"/>
      <c r="AA39" s="11"/>
      <c r="AB39" s="11"/>
      <c r="AC39" s="11"/>
      <c r="AD39" s="15"/>
      <c r="AE39" s="19"/>
      <c r="AF39" s="7">
        <v>1829</v>
      </c>
      <c r="AG39" s="4" t="e">
        <f>ROUND(20.03*(1+AA6)*(1+AA5)+AA7,2)</f>
        <v>#VALUE!</v>
      </c>
      <c r="AH39" s="4" t="e">
        <f>ROUND(21.48*(1+AA6)*(1+AA5)+AA7,2)</f>
        <v>#VALUE!</v>
      </c>
      <c r="AI39" s="4" t="e">
        <f>ROUND(22.95*(1+AA6)*(1+AA5)+AA7,2)</f>
        <v>#VALUE!</v>
      </c>
      <c r="AJ39" s="4" t="e">
        <f>ROUND(24.01*(1+AA6)*(1+AA5)+AA7,2)</f>
        <v>#VALUE!</v>
      </c>
      <c r="AK39" s="4" t="e">
        <f>ROUND(26.44*(1+AA6)*(1+AA5)+AA7,2)</f>
        <v>#VALUE!</v>
      </c>
      <c r="AL39" s="4" t="e">
        <f>ROUND(27.4*(1+AA6)*(1+AA5)+AA7,2)</f>
        <v>#VALUE!</v>
      </c>
      <c r="AM39" s="4" t="e">
        <f>ROUND(29.36*(1+AA6)*(1+AA5)+AA7,2)</f>
        <v>#VALUE!</v>
      </c>
      <c r="AN39" s="4" t="e">
        <f>ROUND(30.91*(1+AA6)*(1+AA5)+AA7,2)</f>
        <v>#VALUE!</v>
      </c>
      <c r="AO39" s="4" t="e">
        <f>ROUND(31.91*(1+AA6)*(1+AA5)+AA7,2)</f>
        <v>#VALUE!</v>
      </c>
      <c r="AP39" s="4" t="e">
        <f>ROUND(33.34*(1+AA6)*(1+AA5)+AA7,2)</f>
        <v>#VALUE!</v>
      </c>
      <c r="AQ39" s="4" t="e">
        <f>ROUND(35.96*(1+AA6)*(1+AA5)+AA7,2)</f>
        <v>#VALUE!</v>
      </c>
      <c r="AR39" s="4" t="e">
        <f>ROUND(38.4*(1+AA6)*(1+AA5)+AA7,2)</f>
        <v>#VALUE!</v>
      </c>
      <c r="AS39" s="4" t="e">
        <f>ROUND(43.3*(1+AA6)*(1+AA5)+AA7,2)</f>
        <v>#VALUE!</v>
      </c>
      <c r="AT39" s="4" t="e">
        <f>ROUND(44.7*(1+AA6)*(1+AA5)+AA7,2)</f>
        <v>#VALUE!</v>
      </c>
      <c r="AU39" s="4" t="e">
        <f>ROUND(45.71*(1+AA6)*(1+AA5)+AA7,2)</f>
        <v>#VALUE!</v>
      </c>
      <c r="AV39" s="4" t="e">
        <f>ROUND(48.37*(1+AA6)*(1+AA5)+AA7,2)</f>
        <v>#VALUE!</v>
      </c>
      <c r="AW39" s="4" t="e">
        <f>ROUND(50.07*(1+AA6)*(1+AA5)+AA7,2)</f>
        <v>#VALUE!</v>
      </c>
      <c r="AX39" s="4" t="e">
        <f>ROUND(55.39*(1+AA6)*(1+AA5)+AA7,2)</f>
        <v>#VALUE!</v>
      </c>
      <c r="AY39" s="4" t="e">
        <f>ROUND(60.93*(1+AA6)*(1+AA5)+AA7,2)</f>
        <v>#VALUE!</v>
      </c>
      <c r="AZ39" s="4" t="e">
        <f>ROUND(67.03*(1+AA6)*(1+AA5)+AA7,2)</f>
        <v>#VALUE!</v>
      </c>
      <c r="BA39" s="4"/>
      <c r="BB39" s="4"/>
      <c r="BC39" s="4"/>
      <c r="BD39" s="4"/>
    </row>
    <row r="40" spans="1:56" x14ac:dyDescent="0.3">
      <c r="A40" s="4"/>
      <c r="B40" s="19"/>
      <c r="C40" s="7">
        <v>2135</v>
      </c>
      <c r="D40" s="4">
        <v>20.9</v>
      </c>
      <c r="E40" s="4">
        <v>22.5</v>
      </c>
      <c r="F40" s="4">
        <v>24.14</v>
      </c>
      <c r="G40" s="4">
        <v>25.31</v>
      </c>
      <c r="H40" s="4">
        <v>28.01</v>
      </c>
      <c r="I40" s="4">
        <v>29.09</v>
      </c>
      <c r="J40" s="4">
        <v>31.19</v>
      </c>
      <c r="K40" s="4">
        <v>32.9</v>
      </c>
      <c r="L40" s="4">
        <v>34</v>
      </c>
      <c r="M40" s="4">
        <v>35.58</v>
      </c>
      <c r="N40" s="4">
        <v>38.4</v>
      </c>
      <c r="O40" s="4">
        <v>41.04</v>
      </c>
      <c r="P40" s="4">
        <v>46.47</v>
      </c>
      <c r="Q40" s="4">
        <v>48.03</v>
      </c>
      <c r="R40" s="4">
        <v>49.08</v>
      </c>
      <c r="S40" s="4">
        <v>52.07</v>
      </c>
      <c r="T40" s="4">
        <v>53.92</v>
      </c>
      <c r="U40" s="4">
        <v>59.82</v>
      </c>
      <c r="V40" s="4">
        <v>65.83</v>
      </c>
      <c r="W40" s="4">
        <v>72.37</v>
      </c>
      <c r="X40" s="11"/>
      <c r="Y40" s="11"/>
      <c r="Z40" s="11"/>
      <c r="AA40" s="11"/>
      <c r="AB40" s="11"/>
      <c r="AC40" s="11"/>
      <c r="AD40" s="15"/>
      <c r="AE40" s="19"/>
      <c r="AF40" s="7">
        <v>2135</v>
      </c>
      <c r="AG40" s="4" t="e">
        <f>ROUND(20.9*(1+AA6)*(1+AA5)+AA7,2)</f>
        <v>#VALUE!</v>
      </c>
      <c r="AH40" s="4" t="e">
        <f>ROUND(22.5*(1+AA6)*(1+AA5)+AA7,2)</f>
        <v>#VALUE!</v>
      </c>
      <c r="AI40" s="4" t="e">
        <f>ROUND(24.14*(1+AA6)*(1+AA5)+AA7,2)</f>
        <v>#VALUE!</v>
      </c>
      <c r="AJ40" s="4" t="e">
        <f>ROUND(25.31*(1+AA6)*(1+AA5)+AA7,2)</f>
        <v>#VALUE!</v>
      </c>
      <c r="AK40" s="4" t="e">
        <f>ROUND(28.01*(1+AA6)*(1+AA5)+AA7,2)</f>
        <v>#VALUE!</v>
      </c>
      <c r="AL40" s="4" t="e">
        <f>ROUND(29.09*(1+AA6)*(1+AA5)+AA7,2)</f>
        <v>#VALUE!</v>
      </c>
      <c r="AM40" s="4" t="e">
        <f>ROUND(31.19*(1+AA6)*(1+AA5)+AA7,2)</f>
        <v>#VALUE!</v>
      </c>
      <c r="AN40" s="4" t="e">
        <f>ROUND(32.9*(1+AA6)*(1+AA5)+AA7,2)</f>
        <v>#VALUE!</v>
      </c>
      <c r="AO40" s="4" t="e">
        <f>ROUND(34*(1+AA6)*(1+AA5)+AA7,2)</f>
        <v>#VALUE!</v>
      </c>
      <c r="AP40" s="4" t="e">
        <f>ROUND(35.58*(1+AA6)*(1+AA5)+AA7,2)</f>
        <v>#VALUE!</v>
      </c>
      <c r="AQ40" s="4" t="e">
        <f>ROUND(38.4*(1+AA6)*(1+AA5)+AA7,2)</f>
        <v>#VALUE!</v>
      </c>
      <c r="AR40" s="4" t="e">
        <f>ROUND(41.04*(1+AA6)*(1+AA5)+AA7,2)</f>
        <v>#VALUE!</v>
      </c>
      <c r="AS40" s="4" t="e">
        <f>ROUND(46.47*(1+AA6)*(1+AA5)+AA7,2)</f>
        <v>#VALUE!</v>
      </c>
      <c r="AT40" s="4" t="e">
        <f>ROUND(48.03*(1+AA6)*(1+AA5)+AA7,2)</f>
        <v>#VALUE!</v>
      </c>
      <c r="AU40" s="4" t="e">
        <f>ROUND(49.08*(1+AA6)*(1+AA5)+AA7,2)</f>
        <v>#VALUE!</v>
      </c>
      <c r="AV40" s="4" t="e">
        <f>ROUND(52.07*(1+AA6)*(1+AA5)+AA7,2)</f>
        <v>#VALUE!</v>
      </c>
      <c r="AW40" s="4" t="e">
        <f>ROUND(53.92*(1+AA6)*(1+AA5)+AA7,2)</f>
        <v>#VALUE!</v>
      </c>
      <c r="AX40" s="4" t="e">
        <f>ROUND(59.82*(1+AA6)*(1+AA5)+AA7,2)</f>
        <v>#VALUE!</v>
      </c>
      <c r="AY40" s="4" t="e">
        <f>ROUND(65.83*(1+AA6)*(1+AA5)+AA7,2)</f>
        <v>#VALUE!</v>
      </c>
      <c r="AZ40" s="4" t="e">
        <f>ROUND(72.37*(1+AA6)*(1+AA5)+AA7,2)</f>
        <v>#VALUE!</v>
      </c>
      <c r="BA40" s="4"/>
      <c r="BB40" s="4"/>
      <c r="BC40" s="4"/>
      <c r="BD40" s="4"/>
    </row>
    <row r="41" spans="1:56" x14ac:dyDescent="0.3">
      <c r="A41" s="4"/>
      <c r="B41" s="19"/>
      <c r="C41" s="7">
        <v>2438</v>
      </c>
      <c r="D41" s="4">
        <v>21.84</v>
      </c>
      <c r="E41" s="4">
        <v>23.55</v>
      </c>
      <c r="F41" s="4">
        <v>25.33</v>
      </c>
      <c r="G41" s="4">
        <v>26.57</v>
      </c>
      <c r="H41" s="4">
        <v>29.55</v>
      </c>
      <c r="I41" s="4">
        <v>30.69</v>
      </c>
      <c r="J41" s="4">
        <v>33.06</v>
      </c>
      <c r="K41" s="4">
        <v>34.92</v>
      </c>
      <c r="L41" s="4">
        <v>36.04</v>
      </c>
      <c r="M41" s="4">
        <v>37.82</v>
      </c>
      <c r="N41" s="4">
        <v>40.840000000000003</v>
      </c>
      <c r="O41" s="4">
        <v>43.74</v>
      </c>
      <c r="P41" s="4">
        <v>49.67</v>
      </c>
      <c r="Q41" s="4">
        <v>51.34</v>
      </c>
      <c r="R41" s="4">
        <v>52.51</v>
      </c>
      <c r="S41" s="4">
        <v>55.72</v>
      </c>
      <c r="T41" s="4">
        <v>57.7</v>
      </c>
      <c r="U41" s="4">
        <v>64.2</v>
      </c>
      <c r="V41" s="4">
        <v>70.66</v>
      </c>
      <c r="W41" s="4">
        <v>77.73</v>
      </c>
      <c r="X41" s="11"/>
      <c r="Y41" s="11"/>
      <c r="Z41" s="11"/>
      <c r="AA41" s="11"/>
      <c r="AB41" s="11"/>
      <c r="AC41" s="11"/>
      <c r="AD41" s="15"/>
      <c r="AE41" s="19"/>
      <c r="AF41" s="7">
        <v>2438</v>
      </c>
      <c r="AG41" s="4" t="e">
        <f>ROUND(21.84*(1+AA6)*(1+AA5)+AA7,2)</f>
        <v>#VALUE!</v>
      </c>
      <c r="AH41" s="4" t="e">
        <f>ROUND(23.55*(1+AA6)*(1+AA5)+AA7,2)</f>
        <v>#VALUE!</v>
      </c>
      <c r="AI41" s="4" t="e">
        <f>ROUND(25.33*(1+AA6)*(1+AA5)+AA7,2)</f>
        <v>#VALUE!</v>
      </c>
      <c r="AJ41" s="4" t="e">
        <f>ROUND(26.57*(1+AA6)*(1+AA5)+AA7,2)</f>
        <v>#VALUE!</v>
      </c>
      <c r="AK41" s="4" t="e">
        <f>ROUND(29.55*(1+AA6)*(1+AA5)+AA7,2)</f>
        <v>#VALUE!</v>
      </c>
      <c r="AL41" s="4" t="e">
        <f>ROUND(30.69*(1+AA6)*(1+AA5)+AA7,2)</f>
        <v>#VALUE!</v>
      </c>
      <c r="AM41" s="4" t="e">
        <f>ROUND(33.06*(1+AA6)*(1+AA5)+AA7,2)</f>
        <v>#VALUE!</v>
      </c>
      <c r="AN41" s="4" t="e">
        <f>ROUND(34.92*(1+AA6)*(1+AA5)+AA7,2)</f>
        <v>#VALUE!</v>
      </c>
      <c r="AO41" s="4" t="e">
        <f>ROUND(36.04*(1+AA6)*(1+AA5)+AA7,2)</f>
        <v>#VALUE!</v>
      </c>
      <c r="AP41" s="4" t="e">
        <f>ROUND(37.82*(1+AA6)*(1+AA5)+AA7,2)</f>
        <v>#VALUE!</v>
      </c>
      <c r="AQ41" s="4" t="e">
        <f>ROUND(40.84*(1+AA6)*(1+AA5)+AA7,2)</f>
        <v>#VALUE!</v>
      </c>
      <c r="AR41" s="4" t="e">
        <f>ROUND(43.74*(1+AA6)*(1+AA5)+AA7,2)</f>
        <v>#VALUE!</v>
      </c>
      <c r="AS41" s="4" t="e">
        <f>ROUND(49.67*(1+AA6)*(1+AA5)+AA7,2)</f>
        <v>#VALUE!</v>
      </c>
      <c r="AT41" s="4" t="e">
        <f>ROUND(51.34*(1+AA6)*(1+AA5)+AA7,2)</f>
        <v>#VALUE!</v>
      </c>
      <c r="AU41" s="4" t="e">
        <f>ROUND(52.51*(1+AA6)*(1+AA5)+AA7,2)</f>
        <v>#VALUE!</v>
      </c>
      <c r="AV41" s="4" t="e">
        <f>ROUND(55.72*(1+AA6)*(1+AA5)+AA7,2)</f>
        <v>#VALUE!</v>
      </c>
      <c r="AW41" s="4" t="e">
        <f>ROUND(57.7*(1+AA6)*(1+AA5)+AA7,2)</f>
        <v>#VALUE!</v>
      </c>
      <c r="AX41" s="4" t="e">
        <f>ROUND(64.2*(1+AA6)*(1+AA5)+AA7,2)</f>
        <v>#VALUE!</v>
      </c>
      <c r="AY41" s="4" t="e">
        <f>ROUND(70.66*(1+AA6)*(1+AA5)+AA7,2)</f>
        <v>#VALUE!</v>
      </c>
      <c r="AZ41" s="4" t="e">
        <f>ROUND(77.73*(1+AA6)*(1+AA5)+AA7,2)</f>
        <v>#VALUE!</v>
      </c>
      <c r="BA41" s="4"/>
      <c r="BB41" s="4"/>
      <c r="BC41" s="4"/>
      <c r="BD41" s="4"/>
    </row>
    <row r="42" spans="1:56" x14ac:dyDescent="0.3">
      <c r="A42" s="4"/>
      <c r="B42" s="19"/>
      <c r="C42" s="7">
        <v>2913</v>
      </c>
      <c r="D42" s="4">
        <v>23.05</v>
      </c>
      <c r="E42" s="4">
        <v>24.99</v>
      </c>
      <c r="F42" s="4">
        <v>26.94</v>
      </c>
      <c r="G42" s="4">
        <v>28.32</v>
      </c>
      <c r="H42" s="4">
        <v>31.71</v>
      </c>
      <c r="I42" s="4">
        <v>32.89</v>
      </c>
      <c r="J42" s="4">
        <v>35.57</v>
      </c>
      <c r="K42" s="4">
        <v>37.64</v>
      </c>
      <c r="L42" s="4">
        <v>38.869999999999997</v>
      </c>
      <c r="M42" s="4">
        <v>40.83</v>
      </c>
      <c r="N42" s="4">
        <v>44.15</v>
      </c>
      <c r="O42" s="4">
        <v>47.35</v>
      </c>
      <c r="P42" s="4">
        <v>53.96</v>
      </c>
      <c r="Q42" s="4">
        <v>55.86</v>
      </c>
      <c r="R42" s="4">
        <v>57.76</v>
      </c>
      <c r="S42" s="4">
        <v>61.47</v>
      </c>
      <c r="T42" s="4">
        <v>63.7</v>
      </c>
      <c r="U42" s="4">
        <v>71.12</v>
      </c>
      <c r="V42" s="4">
        <v>78.22</v>
      </c>
      <c r="W42" s="4">
        <v>86.02</v>
      </c>
      <c r="X42" s="11"/>
      <c r="Y42" s="11"/>
      <c r="Z42" s="11"/>
      <c r="AA42" s="11"/>
      <c r="AB42" s="11"/>
      <c r="AC42" s="11"/>
      <c r="AD42" s="15"/>
      <c r="AE42" s="19"/>
      <c r="AF42" s="7">
        <v>2913</v>
      </c>
      <c r="AG42" s="4" t="e">
        <f>ROUND(23.05*(1+AA6)*(1+AA5)+AA7,2)</f>
        <v>#VALUE!</v>
      </c>
      <c r="AH42" s="4" t="e">
        <f>ROUND(24.99*(1+AA6)*(1+AA5)+AA7,2)</f>
        <v>#VALUE!</v>
      </c>
      <c r="AI42" s="4" t="e">
        <f>ROUND(26.94*(1+AA6)*(1+AA5)+AA7,2)</f>
        <v>#VALUE!</v>
      </c>
      <c r="AJ42" s="4" t="e">
        <f>ROUND(28.32*(1+AA6)*(1+AA5)+AA7,2)</f>
        <v>#VALUE!</v>
      </c>
      <c r="AK42" s="4" t="e">
        <f>ROUND(31.71*(1+AA6)*(1+AA5)+AA7,2)</f>
        <v>#VALUE!</v>
      </c>
      <c r="AL42" s="4" t="e">
        <f>ROUND(32.89*(1+AA6)*(1+AA5)+AA7,2)</f>
        <v>#VALUE!</v>
      </c>
      <c r="AM42" s="4" t="e">
        <f>ROUND(35.57*(1+AA6)*(1+AA5)+AA7,2)</f>
        <v>#VALUE!</v>
      </c>
      <c r="AN42" s="4" t="e">
        <f>ROUND(37.64*(1+AA6)*(1+AA5)+AA7,2)</f>
        <v>#VALUE!</v>
      </c>
      <c r="AO42" s="4" t="e">
        <f>ROUND(38.87*(1+AA6)*(1+AA5)+AA7,2)</f>
        <v>#VALUE!</v>
      </c>
      <c r="AP42" s="4" t="e">
        <f>ROUND(40.83*(1+AA6)*(1+AA5)+AA7,2)</f>
        <v>#VALUE!</v>
      </c>
      <c r="AQ42" s="4" t="e">
        <f>ROUND(44.15*(1+AA6)*(1+AA5)+AA7,2)</f>
        <v>#VALUE!</v>
      </c>
      <c r="AR42" s="4" t="e">
        <f>ROUND(47.35*(1+AA6)*(1+AA5)+AA7,2)</f>
        <v>#VALUE!</v>
      </c>
      <c r="AS42" s="4" t="e">
        <f>ROUND(53.96*(1+AA6)*(1+AA5)+AA7,2)</f>
        <v>#VALUE!</v>
      </c>
      <c r="AT42" s="4" t="e">
        <f>ROUND(55.86*(1+AA6)*(1+AA5)+AA7,2)</f>
        <v>#VALUE!</v>
      </c>
      <c r="AU42" s="4" t="e">
        <f>ROUND(57.76*(1+AA6)*(1+AA5)+AA7,2)</f>
        <v>#VALUE!</v>
      </c>
      <c r="AV42" s="4" t="e">
        <f>ROUND(61.47*(1+AA6)*(1+AA5)+AA7,2)</f>
        <v>#VALUE!</v>
      </c>
      <c r="AW42" s="4" t="e">
        <f>ROUND(63.7*(1+AA6)*(1+AA5)+AA7,2)</f>
        <v>#VALUE!</v>
      </c>
      <c r="AX42" s="4" t="e">
        <f>ROUND(71.12*(1+AA6)*(1+AA5)+AA7,2)</f>
        <v>#VALUE!</v>
      </c>
      <c r="AY42" s="4" t="e">
        <f>ROUND(78.22*(1+AA6)*(1+AA5)+AA7,2)</f>
        <v>#VALUE!</v>
      </c>
      <c r="AZ42" s="4" t="e">
        <f>ROUND(86.02*(1+AA6)*(1+AA5)+AA7,2)</f>
        <v>#VALUE!</v>
      </c>
      <c r="BA42" s="4"/>
      <c r="BB42" s="4"/>
      <c r="BC42" s="4"/>
      <c r="BD42" s="4"/>
    </row>
    <row r="43" spans="1:56" x14ac:dyDescent="0.3">
      <c r="A43" s="4"/>
      <c r="B43" s="19"/>
      <c r="C43" s="7">
        <v>3048</v>
      </c>
      <c r="D43" s="4">
        <v>25.37</v>
      </c>
      <c r="E43" s="4">
        <v>27.53</v>
      </c>
      <c r="F43" s="4">
        <v>29.65</v>
      </c>
      <c r="G43" s="4">
        <v>31.14</v>
      </c>
      <c r="H43" s="4">
        <v>34.869999999999997</v>
      </c>
      <c r="I43" s="4">
        <v>36.21</v>
      </c>
      <c r="J43" s="4">
        <v>39.119999999999997</v>
      </c>
      <c r="K43" s="4">
        <v>41.41</v>
      </c>
      <c r="L43" s="4">
        <v>42.79</v>
      </c>
      <c r="M43" s="4">
        <v>44.89</v>
      </c>
      <c r="N43" s="4">
        <v>48.55</v>
      </c>
      <c r="O43" s="4">
        <v>52.08</v>
      </c>
      <c r="P43" s="4">
        <v>59.36</v>
      </c>
      <c r="Q43" s="4">
        <v>61.43</v>
      </c>
      <c r="R43" s="4">
        <v>63.58</v>
      </c>
      <c r="S43" s="4">
        <v>67.62</v>
      </c>
      <c r="T43" s="4">
        <v>70.069999999999993</v>
      </c>
      <c r="U43" s="4">
        <v>78.22</v>
      </c>
      <c r="V43" s="4">
        <v>86.02</v>
      </c>
      <c r="W43" s="4">
        <v>94.64</v>
      </c>
      <c r="X43" s="11"/>
      <c r="Y43" s="11"/>
      <c r="Z43" s="11"/>
      <c r="AA43" s="11"/>
      <c r="AB43" s="11"/>
      <c r="AC43" s="11"/>
      <c r="AD43" s="15"/>
      <c r="AE43" s="19"/>
      <c r="AF43" s="7">
        <v>3048</v>
      </c>
      <c r="AG43" s="4" t="e">
        <f>ROUND(25.37*(1+AA6)*(1+AA5)+AA7,2)</f>
        <v>#VALUE!</v>
      </c>
      <c r="AH43" s="4" t="e">
        <f>ROUND(27.53*(1+AA6)*(1+AA5)+AA7,2)</f>
        <v>#VALUE!</v>
      </c>
      <c r="AI43" s="4" t="e">
        <f>ROUND(29.65*(1+AA6)*(1+AA5)+AA7,2)</f>
        <v>#VALUE!</v>
      </c>
      <c r="AJ43" s="4" t="e">
        <f>ROUND(31.14*(1+AA6)*(1+AA5)+AA7,2)</f>
        <v>#VALUE!</v>
      </c>
      <c r="AK43" s="4" t="e">
        <f>ROUND(34.87*(1+AA6)*(1+AA5)+AA7,2)</f>
        <v>#VALUE!</v>
      </c>
      <c r="AL43" s="4" t="e">
        <f>ROUND(36.21*(1+AA6)*(1+AA5)+AA7,2)</f>
        <v>#VALUE!</v>
      </c>
      <c r="AM43" s="4" t="e">
        <f>ROUND(39.12*(1+AA6)*(1+AA5)+AA7,2)</f>
        <v>#VALUE!</v>
      </c>
      <c r="AN43" s="4" t="e">
        <f>ROUND(41.41*(1+AA6)*(1+AA5)+AA7,2)</f>
        <v>#VALUE!</v>
      </c>
      <c r="AO43" s="4" t="e">
        <f>ROUND(42.79*(1+AA6)*(1+AA5)+AA7,2)</f>
        <v>#VALUE!</v>
      </c>
      <c r="AP43" s="4" t="e">
        <f>ROUND(44.89*(1+AA6)*(1+AA5)+AA7,2)</f>
        <v>#VALUE!</v>
      </c>
      <c r="AQ43" s="4" t="e">
        <f>ROUND(48.55*(1+AA6)*(1+AA5)+AA7,2)</f>
        <v>#VALUE!</v>
      </c>
      <c r="AR43" s="4" t="e">
        <f>ROUND(52.08*(1+AA6)*(1+AA5)+AA7,2)</f>
        <v>#VALUE!</v>
      </c>
      <c r="AS43" s="4" t="e">
        <f>ROUND(59.36*(1+AA6)*(1+AA5)+AA7,2)</f>
        <v>#VALUE!</v>
      </c>
      <c r="AT43" s="4" t="e">
        <f>ROUND(61.43*(1+AA6)*(1+AA5)+AA7,2)</f>
        <v>#VALUE!</v>
      </c>
      <c r="AU43" s="4" t="e">
        <f>ROUND(63.58*(1+AA6)*(1+AA5)+AA7,2)</f>
        <v>#VALUE!</v>
      </c>
      <c r="AV43" s="4" t="e">
        <f>ROUND(67.62*(1+AA6)*(1+AA5)+AA7,2)</f>
        <v>#VALUE!</v>
      </c>
      <c r="AW43" s="4" t="e">
        <f>ROUND(70.07*(1+AA6)*(1+AA5)+AA7,2)</f>
        <v>#VALUE!</v>
      </c>
      <c r="AX43" s="4" t="e">
        <f>ROUND(78.22*(1+AA6)*(1+AA5)+AA7,2)</f>
        <v>#VALUE!</v>
      </c>
      <c r="AY43" s="4" t="e">
        <f>ROUND(86.02*(1+AA6)*(1+AA5)+AA7,2)</f>
        <v>#VALUE!</v>
      </c>
      <c r="AZ43" s="4" t="e">
        <f>ROUND(94.64*(1+AA6)*(1+AA5)+AA7,2)</f>
        <v>#VALUE!</v>
      </c>
      <c r="BA43" s="4"/>
      <c r="BB43" s="4"/>
      <c r="BC43" s="4"/>
      <c r="BD43" s="4"/>
    </row>
    <row r="44" spans="1:56" x14ac:dyDescent="0.3">
      <c r="A44" s="4"/>
      <c r="B44" s="19"/>
      <c r="C44" s="7">
        <v>3300</v>
      </c>
      <c r="D44" s="4">
        <v>27.91</v>
      </c>
      <c r="E44" s="4">
        <v>30.28</v>
      </c>
      <c r="F44" s="4">
        <v>32.630000000000003</v>
      </c>
      <c r="G44" s="4">
        <v>34.229999999999997</v>
      </c>
      <c r="H44" s="4">
        <v>38.32</v>
      </c>
      <c r="I44" s="4">
        <v>39.81</v>
      </c>
      <c r="J44" s="4">
        <v>43.05</v>
      </c>
      <c r="K44" s="4">
        <v>45.55</v>
      </c>
      <c r="L44" s="4">
        <v>47.02</v>
      </c>
      <c r="M44" s="4">
        <v>49.4</v>
      </c>
      <c r="N44" s="4">
        <v>53.44</v>
      </c>
      <c r="O44" s="4">
        <v>57.26</v>
      </c>
      <c r="P44" s="4">
        <v>65.27</v>
      </c>
      <c r="Q44" s="4">
        <v>67.55</v>
      </c>
      <c r="R44" s="4">
        <v>69.92</v>
      </c>
      <c r="S44" s="4">
        <v>74.38</v>
      </c>
      <c r="T44" s="4">
        <v>77.09</v>
      </c>
      <c r="U44" s="4">
        <v>86.02</v>
      </c>
      <c r="V44" s="4">
        <v>94.64</v>
      </c>
      <c r="W44" s="4">
        <v>104.12</v>
      </c>
      <c r="X44" s="11"/>
      <c r="Y44" s="11"/>
      <c r="Z44" s="11"/>
      <c r="AA44" s="11"/>
      <c r="AB44" s="11"/>
      <c r="AC44" s="11"/>
      <c r="AD44" s="15"/>
      <c r="AE44" s="19"/>
      <c r="AF44" s="7">
        <v>3300</v>
      </c>
      <c r="AG44" s="4" t="e">
        <f>ROUND(27.91*(1+AA6)*(1+AA5)+AA7,2)</f>
        <v>#VALUE!</v>
      </c>
      <c r="AH44" s="4" t="e">
        <f>ROUND(30.28*(1+AA6)*(1+AA5)+AA7,2)</f>
        <v>#VALUE!</v>
      </c>
      <c r="AI44" s="4" t="e">
        <f>ROUND(32.63*(1+AA6)*(1+AA5)+AA7,2)</f>
        <v>#VALUE!</v>
      </c>
      <c r="AJ44" s="4" t="e">
        <f>ROUND(34.23*(1+AA6)*(1+AA5)+AA7,2)</f>
        <v>#VALUE!</v>
      </c>
      <c r="AK44" s="4" t="e">
        <f>ROUND(38.32*(1+AA6)*(1+AA5)+AA7,2)</f>
        <v>#VALUE!</v>
      </c>
      <c r="AL44" s="4" t="e">
        <f>ROUND(39.81*(1+AA6)*(1+AA5)+AA7,2)</f>
        <v>#VALUE!</v>
      </c>
      <c r="AM44" s="4" t="e">
        <f>ROUND(43.05*(1+AA6)*(1+AA5)+AA7,2)</f>
        <v>#VALUE!</v>
      </c>
      <c r="AN44" s="4" t="e">
        <f>ROUND(45.55*(1+AA6)*(1+AA5)+AA7,2)</f>
        <v>#VALUE!</v>
      </c>
      <c r="AO44" s="4" t="e">
        <f>ROUND(47.02*(1+AA6)*(1+AA5)+AA7,2)</f>
        <v>#VALUE!</v>
      </c>
      <c r="AP44" s="4" t="e">
        <f>ROUND(49.4*(1+AA6)*(1+AA5)+AA7,2)</f>
        <v>#VALUE!</v>
      </c>
      <c r="AQ44" s="4" t="e">
        <f>ROUND(53.44*(1+AA6)*(1+AA5)+AA7,2)</f>
        <v>#VALUE!</v>
      </c>
      <c r="AR44" s="4" t="e">
        <f>ROUND(57.26*(1+AA6)*(1+AA5)+AA7,2)</f>
        <v>#VALUE!</v>
      </c>
      <c r="AS44" s="4" t="e">
        <f>ROUND(65.27*(1+AA6)*(1+AA5)+AA7,2)</f>
        <v>#VALUE!</v>
      </c>
      <c r="AT44" s="4" t="e">
        <f>ROUND(67.55*(1+AA6)*(1+AA5)+AA7,2)</f>
        <v>#VALUE!</v>
      </c>
      <c r="AU44" s="4" t="e">
        <f>ROUND(69.92*(1+AA6)*(1+AA5)+AA7,2)</f>
        <v>#VALUE!</v>
      </c>
      <c r="AV44" s="4" t="e">
        <f>ROUND(74.38*(1+AA6)*(1+AA5)+AA7,2)</f>
        <v>#VALUE!</v>
      </c>
      <c r="AW44" s="4" t="e">
        <f>ROUND(77.09*(1+AA6)*(1+AA5)+AA7,2)</f>
        <v>#VALUE!</v>
      </c>
      <c r="AX44" s="4" t="e">
        <f>ROUND(86.02*(1+AA6)*(1+AA5)+AA7,2)</f>
        <v>#VALUE!</v>
      </c>
      <c r="AY44" s="4" t="e">
        <f>ROUND(94.64*(1+AA6)*(1+AA5)+AA7,2)</f>
        <v>#VALUE!</v>
      </c>
      <c r="AZ44" s="4" t="e">
        <f>ROUND(104.12*(1+AA6)*(1+AA5)+AA7,2)</f>
        <v>#VALUE!</v>
      </c>
      <c r="BA44" s="4"/>
      <c r="BB44" s="4"/>
      <c r="BC44" s="4"/>
      <c r="BD44" s="4"/>
    </row>
    <row r="45" spans="1:56" x14ac:dyDescent="0.3">
      <c r="A45" s="4"/>
      <c r="B45" s="19"/>
      <c r="C45" s="7">
        <v>3500</v>
      </c>
      <c r="D45" s="4">
        <v>30.69</v>
      </c>
      <c r="E45" s="4">
        <v>33.28</v>
      </c>
      <c r="F45" s="4">
        <v>35.880000000000003</v>
      </c>
      <c r="G45" s="4">
        <v>37.67</v>
      </c>
      <c r="H45" s="4">
        <v>42.14</v>
      </c>
      <c r="I45" s="4">
        <v>43.8</v>
      </c>
      <c r="J45" s="4">
        <v>47.36</v>
      </c>
      <c r="K45" s="4">
        <v>50.08</v>
      </c>
      <c r="L45" s="4">
        <v>51.74</v>
      </c>
      <c r="M45" s="4">
        <v>54.35</v>
      </c>
      <c r="N45" s="4">
        <v>58.77</v>
      </c>
      <c r="O45" s="4">
        <v>62.99</v>
      </c>
      <c r="P45" s="4">
        <v>71.8</v>
      </c>
      <c r="Q45" s="4">
        <v>74.3</v>
      </c>
      <c r="R45" s="4">
        <v>76.91</v>
      </c>
      <c r="S45" s="4">
        <v>81.81</v>
      </c>
      <c r="T45" s="4">
        <v>84.83</v>
      </c>
      <c r="U45" s="4">
        <v>94.64</v>
      </c>
      <c r="V45" s="4">
        <v>104.12</v>
      </c>
      <c r="W45" s="4">
        <v>114.52</v>
      </c>
      <c r="X45" s="11"/>
      <c r="Y45" s="11"/>
      <c r="Z45" s="11"/>
      <c r="AA45" s="11"/>
      <c r="AB45" s="11"/>
      <c r="AC45" s="11"/>
      <c r="AD45" s="15"/>
      <c r="AE45" s="19"/>
      <c r="AF45" s="7">
        <v>3500</v>
      </c>
      <c r="AG45" s="4" t="e">
        <f>ROUND(30.69*(1+AA6)*(1+AA5)+AA7,2)</f>
        <v>#VALUE!</v>
      </c>
      <c r="AH45" s="4" t="e">
        <f>ROUND(33.28*(1+AA6)*(1+AA5)+AA7,2)</f>
        <v>#VALUE!</v>
      </c>
      <c r="AI45" s="4" t="e">
        <f>ROUND(35.88*(1+AA6)*(1+AA5)+AA7,2)</f>
        <v>#VALUE!</v>
      </c>
      <c r="AJ45" s="4" t="e">
        <f>ROUND(37.67*(1+AA6)*(1+AA5)+AA7,2)</f>
        <v>#VALUE!</v>
      </c>
      <c r="AK45" s="4" t="e">
        <f>ROUND(42.14*(1+AA6)*(1+AA5)+AA7,2)</f>
        <v>#VALUE!</v>
      </c>
      <c r="AL45" s="4" t="e">
        <f>ROUND(43.8*(1+AA6)*(1+AA5)+AA7,2)</f>
        <v>#VALUE!</v>
      </c>
      <c r="AM45" s="4" t="e">
        <f>ROUND(47.36*(1+AA6)*(1+AA5)+AA7,2)</f>
        <v>#VALUE!</v>
      </c>
      <c r="AN45" s="4" t="e">
        <f>ROUND(50.08*(1+AA6)*(1+AA5)+AA7,2)</f>
        <v>#VALUE!</v>
      </c>
      <c r="AO45" s="4" t="e">
        <f>ROUND(51.74*(1+AA6)*(1+AA5)+AA7,2)</f>
        <v>#VALUE!</v>
      </c>
      <c r="AP45" s="4" t="e">
        <f>ROUND(54.35*(1+AA6)*(1+AA5)+AA7,2)</f>
        <v>#VALUE!</v>
      </c>
      <c r="AQ45" s="4" t="e">
        <f>ROUND(58.77*(1+AA6)*(1+AA5)+AA7,2)</f>
        <v>#VALUE!</v>
      </c>
      <c r="AR45" s="4" t="e">
        <f>ROUND(62.99*(1+AA6)*(1+AA5)+AA7,2)</f>
        <v>#VALUE!</v>
      </c>
      <c r="AS45" s="4" t="e">
        <f>ROUND(71.8*(1+AA6)*(1+AA5)+AA7,2)</f>
        <v>#VALUE!</v>
      </c>
      <c r="AT45" s="4" t="e">
        <f>ROUND(74.3*(1+AA6)*(1+AA5)+AA7,2)</f>
        <v>#VALUE!</v>
      </c>
      <c r="AU45" s="4" t="e">
        <f>ROUND(76.91*(1+AA6)*(1+AA5)+AA7,2)</f>
        <v>#VALUE!</v>
      </c>
      <c r="AV45" s="4" t="e">
        <f>ROUND(81.81*(1+AA6)*(1+AA5)+AA7,2)</f>
        <v>#VALUE!</v>
      </c>
      <c r="AW45" s="4" t="e">
        <f>ROUND(84.83*(1+AA6)*(1+AA5)+AA7,2)</f>
        <v>#VALUE!</v>
      </c>
      <c r="AX45" s="4" t="e">
        <f>ROUND(94.64*(1+AA6)*(1+AA5)+AA7,2)</f>
        <v>#VALUE!</v>
      </c>
      <c r="AY45" s="4" t="e">
        <f>ROUND(104.12*(1+AA6)*(1+AA5)+AA7,2)</f>
        <v>#VALUE!</v>
      </c>
      <c r="AZ45" s="4" t="e">
        <f>ROUND(114.52*(1+AA6)*(1+AA5)+AA7,2)</f>
        <v>#VALUE!</v>
      </c>
      <c r="BA45" s="4"/>
      <c r="BB45" s="4"/>
      <c r="BC45" s="4"/>
      <c r="BD45" s="4"/>
    </row>
    <row r="46" spans="1:56" x14ac:dyDescent="0.3">
      <c r="A46" s="4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5"/>
      <c r="AE46" s="5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</row>
    <row r="47" spans="1:56" ht="18" x14ac:dyDescent="0.35">
      <c r="A47" s="4"/>
      <c r="B47" s="5"/>
      <c r="C47" s="16" t="s">
        <v>27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1"/>
      <c r="Y47" s="11"/>
      <c r="Z47" s="11"/>
      <c r="AA47" s="11"/>
      <c r="AB47" s="11"/>
      <c r="AC47" s="11"/>
      <c r="AD47" s="15"/>
      <c r="AE47" s="5"/>
      <c r="AF47" s="16" t="s">
        <v>19</v>
      </c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4"/>
      <c r="BB47" s="4"/>
      <c r="BC47" s="4"/>
      <c r="BD47" s="4"/>
    </row>
    <row r="48" spans="1:56" ht="18" x14ac:dyDescent="0.35">
      <c r="A48" s="4"/>
      <c r="B48" s="5"/>
      <c r="C48" s="16" t="s">
        <v>20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1"/>
      <c r="Y48" s="11"/>
      <c r="Z48" s="11"/>
      <c r="AA48" s="11"/>
      <c r="AB48" s="11"/>
      <c r="AC48" s="11"/>
      <c r="AD48" s="15"/>
      <c r="AE48" s="5"/>
      <c r="AF48" s="16" t="s">
        <v>20</v>
      </c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4"/>
      <c r="BB48" s="4"/>
      <c r="BC48" s="4"/>
      <c r="BD48" s="4"/>
    </row>
    <row r="49" spans="1:56" ht="18" x14ac:dyDescent="0.35">
      <c r="A49" s="4"/>
      <c r="B49" s="5"/>
      <c r="C49" s="18" t="s">
        <v>14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1"/>
      <c r="Y49" s="11"/>
      <c r="Z49" s="11"/>
      <c r="AA49" s="11"/>
      <c r="AB49" s="11"/>
      <c r="AC49" s="11"/>
      <c r="AD49" s="15"/>
      <c r="AE49" s="5"/>
      <c r="AF49" s="18" t="s">
        <v>14</v>
      </c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4"/>
      <c r="BB49" s="4"/>
      <c r="BC49" s="4"/>
      <c r="BD49" s="4"/>
    </row>
    <row r="50" spans="1:56" x14ac:dyDescent="0.3">
      <c r="A50" s="4"/>
      <c r="B50" s="6"/>
      <c r="C50" s="7" t="s">
        <v>15</v>
      </c>
      <c r="D50" s="7">
        <v>610</v>
      </c>
      <c r="E50" s="7">
        <v>762</v>
      </c>
      <c r="F50" s="7">
        <v>914</v>
      </c>
      <c r="G50" s="7">
        <v>1067</v>
      </c>
      <c r="H50" s="7">
        <v>1219</v>
      </c>
      <c r="I50" s="7">
        <v>1372</v>
      </c>
      <c r="J50" s="7">
        <v>1524</v>
      </c>
      <c r="K50" s="7">
        <v>1676</v>
      </c>
      <c r="L50" s="7">
        <v>1829</v>
      </c>
      <c r="M50" s="7">
        <v>1981</v>
      </c>
      <c r="N50" s="7">
        <v>2134</v>
      </c>
      <c r="O50" s="7">
        <v>2438</v>
      </c>
      <c r="P50" s="7">
        <v>2742</v>
      </c>
      <c r="Q50" s="7">
        <v>3048</v>
      </c>
      <c r="R50" s="7">
        <v>3200</v>
      </c>
      <c r="S50" s="7">
        <v>3429</v>
      </c>
      <c r="T50" s="7">
        <v>3658</v>
      </c>
      <c r="U50" s="7">
        <v>4115</v>
      </c>
      <c r="V50" s="7">
        <v>4500</v>
      </c>
      <c r="W50" s="7">
        <v>5000</v>
      </c>
      <c r="X50" s="11"/>
      <c r="Y50" s="11"/>
      <c r="Z50" s="11"/>
      <c r="AA50" s="11"/>
      <c r="AB50" s="11"/>
      <c r="AC50" s="11"/>
      <c r="AD50" s="15"/>
      <c r="AE50" s="6"/>
      <c r="AF50" s="7" t="s">
        <v>15</v>
      </c>
      <c r="AG50" s="7">
        <v>610</v>
      </c>
      <c r="AH50" s="7">
        <v>762</v>
      </c>
      <c r="AI50" s="7">
        <v>914</v>
      </c>
      <c r="AJ50" s="7">
        <v>1067</v>
      </c>
      <c r="AK50" s="7">
        <v>1219</v>
      </c>
      <c r="AL50" s="7">
        <v>1372</v>
      </c>
      <c r="AM50" s="7">
        <v>1524</v>
      </c>
      <c r="AN50" s="7">
        <v>1676</v>
      </c>
      <c r="AO50" s="7">
        <v>1829</v>
      </c>
      <c r="AP50" s="7">
        <v>1981</v>
      </c>
      <c r="AQ50" s="7">
        <v>2134</v>
      </c>
      <c r="AR50" s="7">
        <v>2438</v>
      </c>
      <c r="AS50" s="7">
        <v>2742</v>
      </c>
      <c r="AT50" s="7">
        <v>3048</v>
      </c>
      <c r="AU50" s="7">
        <v>3200</v>
      </c>
      <c r="AV50" s="7">
        <v>3429</v>
      </c>
      <c r="AW50" s="7">
        <v>3658</v>
      </c>
      <c r="AX50" s="7">
        <v>4115</v>
      </c>
      <c r="AY50" s="7">
        <v>4500</v>
      </c>
      <c r="AZ50" s="7">
        <v>5000</v>
      </c>
      <c r="BA50" s="4"/>
      <c r="BB50" s="4"/>
      <c r="BC50" s="4"/>
      <c r="BD50" s="4"/>
    </row>
    <row r="51" spans="1:56" x14ac:dyDescent="0.3">
      <c r="A51" s="4"/>
      <c r="B51" s="19" t="s">
        <v>16</v>
      </c>
      <c r="C51" s="7">
        <v>610</v>
      </c>
      <c r="D51" s="4">
        <v>20.61</v>
      </c>
      <c r="E51" s="4">
        <v>22.12</v>
      </c>
      <c r="F51" s="4">
        <v>23.62</v>
      </c>
      <c r="G51" s="4">
        <v>24.82</v>
      </c>
      <c r="H51" s="4">
        <v>27.28</v>
      </c>
      <c r="I51" s="4">
        <v>28.35</v>
      </c>
      <c r="J51" s="4">
        <v>30.33</v>
      </c>
      <c r="K51" s="4">
        <v>31.96</v>
      </c>
      <c r="L51" s="4">
        <v>33.049999999999997</v>
      </c>
      <c r="M51" s="4">
        <v>34.54</v>
      </c>
      <c r="N51" s="4">
        <v>37.32</v>
      </c>
      <c r="O51" s="4">
        <v>39.880000000000003</v>
      </c>
      <c r="P51" s="4">
        <v>45.02</v>
      </c>
      <c r="Q51" s="4">
        <v>46.45</v>
      </c>
      <c r="R51" s="4">
        <v>47.47</v>
      </c>
      <c r="S51" s="4">
        <v>50.24</v>
      </c>
      <c r="T51" s="4">
        <v>52.1</v>
      </c>
      <c r="U51" s="4">
        <v>57.35</v>
      </c>
      <c r="V51" s="4">
        <v>63.08</v>
      </c>
      <c r="W51" s="4">
        <v>69.38</v>
      </c>
      <c r="X51" s="11"/>
      <c r="Y51" s="11"/>
      <c r="Z51" s="11"/>
      <c r="AA51" s="11"/>
      <c r="AB51" s="11"/>
      <c r="AC51" s="11"/>
      <c r="AD51" s="15"/>
      <c r="AE51" s="19" t="s">
        <v>16</v>
      </c>
      <c r="AF51" s="7">
        <v>610</v>
      </c>
      <c r="AG51" s="4" t="e">
        <f>ROUND(20.61*(1+AA6)*(1+AA5)+AA7,2)</f>
        <v>#VALUE!</v>
      </c>
      <c r="AH51" s="4" t="e">
        <f>ROUND(22.12*(1+AA6)*(1+AA5)+AA7,2)</f>
        <v>#VALUE!</v>
      </c>
      <c r="AI51" s="4" t="e">
        <f>ROUND(23.62*(1+AA6)*(1+AA5)+AA7,2)</f>
        <v>#VALUE!</v>
      </c>
      <c r="AJ51" s="4" t="e">
        <f>ROUND(24.82*(1+AA6)*(1+AA5)+AA7,2)</f>
        <v>#VALUE!</v>
      </c>
      <c r="AK51" s="4" t="e">
        <f>ROUND(27.28*(1+AA6)*(1+AA5)+AA7,2)</f>
        <v>#VALUE!</v>
      </c>
      <c r="AL51" s="4" t="e">
        <f>ROUND(28.35*(1+AA6)*(1+AA5)+AA7,2)</f>
        <v>#VALUE!</v>
      </c>
      <c r="AM51" s="4" t="e">
        <f>ROUND(30.33*(1+AA6)*(1+AA5)+AA7,2)</f>
        <v>#VALUE!</v>
      </c>
      <c r="AN51" s="4" t="e">
        <f>ROUND(31.96*(1+AA6)*(1+AA5)+AA7,2)</f>
        <v>#VALUE!</v>
      </c>
      <c r="AO51" s="4" t="e">
        <f>ROUND(33.05*(1+AA6)*(1+AA5)+AA7,2)</f>
        <v>#VALUE!</v>
      </c>
      <c r="AP51" s="4" t="e">
        <f>ROUND(34.54*(1+AA6)*(1+AA5)+AA7,2)</f>
        <v>#VALUE!</v>
      </c>
      <c r="AQ51" s="4" t="e">
        <f>ROUND(37.32*(1+AA6)*(1+AA5)+AA7,2)</f>
        <v>#VALUE!</v>
      </c>
      <c r="AR51" s="4" t="e">
        <f>ROUND(39.88*(1+AA6)*(1+AA5)+AA7,2)</f>
        <v>#VALUE!</v>
      </c>
      <c r="AS51" s="4" t="e">
        <f>ROUND(45.02*(1+AA6)*(1+AA5)+AA7,2)</f>
        <v>#VALUE!</v>
      </c>
      <c r="AT51" s="4" t="e">
        <f>ROUND(46.45*(1+AA6)*(1+AA5)+AA7,2)</f>
        <v>#VALUE!</v>
      </c>
      <c r="AU51" s="4" t="e">
        <f>ROUND(47.47*(1+AA6)*(1+AA5)+AA7,2)</f>
        <v>#VALUE!</v>
      </c>
      <c r="AV51" s="4" t="e">
        <f>ROUND(50.24*(1+AA6)*(1+AA5)+AA7,2)</f>
        <v>#VALUE!</v>
      </c>
      <c r="AW51" s="4" t="e">
        <f>ROUND(52.1*(1+AA6)*(1+AA5)+AA7,2)</f>
        <v>#VALUE!</v>
      </c>
      <c r="AX51" s="4" t="e">
        <f>ROUND(57.35*(1+AA6)*(1+AA5)+AA7,2)</f>
        <v>#VALUE!</v>
      </c>
      <c r="AY51" s="4" t="e">
        <f>ROUND(63.08*(1+AA6)*(1+AA5)+AA7,2)</f>
        <v>#VALUE!</v>
      </c>
      <c r="AZ51" s="4" t="e">
        <f>ROUND(69.38*(1+AA6)*(1+AA5)+AA7,2)</f>
        <v>#VALUE!</v>
      </c>
      <c r="BA51" s="4"/>
      <c r="BB51" s="4"/>
      <c r="BC51" s="4"/>
      <c r="BD51" s="4"/>
    </row>
    <row r="52" spans="1:56" x14ac:dyDescent="0.3">
      <c r="A52" s="4"/>
      <c r="B52" s="19"/>
      <c r="C52" s="7">
        <v>762</v>
      </c>
      <c r="D52" s="4">
        <v>21.6</v>
      </c>
      <c r="E52" s="4">
        <v>23.36</v>
      </c>
      <c r="F52" s="4">
        <v>25.05</v>
      </c>
      <c r="G52" s="4">
        <v>26.36</v>
      </c>
      <c r="H52" s="4">
        <v>29.21</v>
      </c>
      <c r="I52" s="4">
        <v>30.38</v>
      </c>
      <c r="J52" s="4">
        <v>32.700000000000003</v>
      </c>
      <c r="K52" s="4">
        <v>34.54</v>
      </c>
      <c r="L52" s="4">
        <v>35.700000000000003</v>
      </c>
      <c r="M52" s="4">
        <v>37.46</v>
      </c>
      <c r="N52" s="4">
        <v>40.520000000000003</v>
      </c>
      <c r="O52" s="4">
        <v>43.42</v>
      </c>
      <c r="P52" s="4">
        <v>49.24</v>
      </c>
      <c r="Q52" s="4">
        <v>50.92</v>
      </c>
      <c r="R52" s="4">
        <v>52.08</v>
      </c>
      <c r="S52" s="4">
        <v>55.28</v>
      </c>
      <c r="T52" s="4">
        <v>57.26</v>
      </c>
      <c r="U52" s="4">
        <v>63.61</v>
      </c>
      <c r="V52" s="4">
        <v>69.989999999999995</v>
      </c>
      <c r="W52" s="4">
        <v>76.959999999999994</v>
      </c>
      <c r="X52" s="11"/>
      <c r="Y52" s="11"/>
      <c r="Z52" s="11"/>
      <c r="AA52" s="11"/>
      <c r="AB52" s="11"/>
      <c r="AC52" s="11"/>
      <c r="AD52" s="15"/>
      <c r="AE52" s="19"/>
      <c r="AF52" s="7">
        <v>762</v>
      </c>
      <c r="AG52" s="4" t="e">
        <f>ROUND(21.6*(1+AA6)*(1+AA5)+AA7,2)</f>
        <v>#VALUE!</v>
      </c>
      <c r="AH52" s="4" t="e">
        <f>ROUND(23.36*(1+AA6)*(1+AA5)+AA7,2)</f>
        <v>#VALUE!</v>
      </c>
      <c r="AI52" s="4" t="e">
        <f>ROUND(25.05*(1+AA6)*(1+AA5)+AA7,2)</f>
        <v>#VALUE!</v>
      </c>
      <c r="AJ52" s="4" t="e">
        <f>ROUND(26.36*(1+AA6)*(1+AA5)+AA7,2)</f>
        <v>#VALUE!</v>
      </c>
      <c r="AK52" s="4" t="e">
        <f>ROUND(29.21*(1+AA6)*(1+AA5)+AA7,2)</f>
        <v>#VALUE!</v>
      </c>
      <c r="AL52" s="4" t="e">
        <f>ROUND(30.38*(1+AA6)*(1+AA5)+AA7,2)</f>
        <v>#VALUE!</v>
      </c>
      <c r="AM52" s="4" t="e">
        <f>ROUND(32.7*(1+AA6)*(1+AA5)+AA7,2)</f>
        <v>#VALUE!</v>
      </c>
      <c r="AN52" s="4" t="e">
        <f>ROUND(34.54*(1+AA6)*(1+AA5)+AA7,2)</f>
        <v>#VALUE!</v>
      </c>
      <c r="AO52" s="4" t="e">
        <f>ROUND(35.7*(1+AA6)*(1+AA5)+AA7,2)</f>
        <v>#VALUE!</v>
      </c>
      <c r="AP52" s="4" t="e">
        <f>ROUND(37.46*(1+AA6)*(1+AA5)+AA7,2)</f>
        <v>#VALUE!</v>
      </c>
      <c r="AQ52" s="4" t="e">
        <f>ROUND(40.52*(1+AA6)*(1+AA5)+AA7,2)</f>
        <v>#VALUE!</v>
      </c>
      <c r="AR52" s="4" t="e">
        <f>ROUND(43.42*(1+AA6)*(1+AA5)+AA7,2)</f>
        <v>#VALUE!</v>
      </c>
      <c r="AS52" s="4" t="e">
        <f>ROUND(49.24*(1+AA6)*(1+AA5)+AA7,2)</f>
        <v>#VALUE!</v>
      </c>
      <c r="AT52" s="4" t="e">
        <f>ROUND(50.92*(1+AA6)*(1+AA5)+AA7,2)</f>
        <v>#VALUE!</v>
      </c>
      <c r="AU52" s="4" t="e">
        <f>ROUND(52.08*(1+AA6)*(1+AA5)+AA7,2)</f>
        <v>#VALUE!</v>
      </c>
      <c r="AV52" s="4" t="e">
        <f>ROUND(55.28*(1+AA6)*(1+AA5)+AA7,2)</f>
        <v>#VALUE!</v>
      </c>
      <c r="AW52" s="4" t="e">
        <f>ROUND(57.26*(1+AA6)*(1+AA5)+AA7,2)</f>
        <v>#VALUE!</v>
      </c>
      <c r="AX52" s="4" t="e">
        <f>ROUND(63.61*(1+AA6)*(1+AA5)+AA7,2)</f>
        <v>#VALUE!</v>
      </c>
      <c r="AY52" s="4" t="e">
        <f>ROUND(69.99*(1+AA6)*(1+AA5)+AA7,2)</f>
        <v>#VALUE!</v>
      </c>
      <c r="AZ52" s="4" t="e">
        <f>ROUND(76.96*(1+AA6)*(1+AA5)+AA7,2)</f>
        <v>#VALUE!</v>
      </c>
      <c r="BA52" s="4"/>
      <c r="BB52" s="4"/>
      <c r="BC52" s="4"/>
      <c r="BD52" s="4"/>
    </row>
    <row r="53" spans="1:56" x14ac:dyDescent="0.3">
      <c r="A53" s="4"/>
      <c r="B53" s="19"/>
      <c r="C53" s="7">
        <v>914</v>
      </c>
      <c r="D53" s="4">
        <v>22.64</v>
      </c>
      <c r="E53" s="4">
        <v>24.55</v>
      </c>
      <c r="F53" s="4">
        <v>26.5</v>
      </c>
      <c r="G53" s="4">
        <v>27.89</v>
      </c>
      <c r="H53" s="4">
        <v>31.18</v>
      </c>
      <c r="I53" s="4">
        <v>32.46</v>
      </c>
      <c r="J53" s="4">
        <v>35.07</v>
      </c>
      <c r="K53" s="4">
        <v>37.15</v>
      </c>
      <c r="L53" s="4">
        <v>38.4</v>
      </c>
      <c r="M53" s="4">
        <v>40.36</v>
      </c>
      <c r="N53" s="4">
        <v>43.72</v>
      </c>
      <c r="O53" s="4">
        <v>46.92</v>
      </c>
      <c r="P53" s="4">
        <v>53.48</v>
      </c>
      <c r="Q53" s="4">
        <v>55.38</v>
      </c>
      <c r="R53" s="4">
        <v>56.65</v>
      </c>
      <c r="S53" s="4">
        <v>60.25</v>
      </c>
      <c r="T53" s="4">
        <v>62.46</v>
      </c>
      <c r="U53" s="4">
        <v>69.64</v>
      </c>
      <c r="V53" s="4">
        <v>76.59</v>
      </c>
      <c r="W53" s="4">
        <v>84.27</v>
      </c>
      <c r="X53" s="11"/>
      <c r="Y53" s="11"/>
      <c r="Z53" s="11"/>
      <c r="AA53" s="11"/>
      <c r="AB53" s="11"/>
      <c r="AC53" s="11"/>
      <c r="AD53" s="15"/>
      <c r="AE53" s="19"/>
      <c r="AF53" s="7">
        <v>914</v>
      </c>
      <c r="AG53" s="4" t="e">
        <f>ROUND(22.64*(1+AA6)*(1+AA5)+AA7,2)</f>
        <v>#VALUE!</v>
      </c>
      <c r="AH53" s="4" t="e">
        <f>ROUND(24.55*(1+AA6)*(1+AA5)+AA7,2)</f>
        <v>#VALUE!</v>
      </c>
      <c r="AI53" s="4" t="e">
        <f>ROUND(26.5*(1+AA6)*(1+AA5)+AA7,2)</f>
        <v>#VALUE!</v>
      </c>
      <c r="AJ53" s="4" t="e">
        <f>ROUND(27.89*(1+AA6)*(1+AA5)+AA7,2)</f>
        <v>#VALUE!</v>
      </c>
      <c r="AK53" s="4" t="e">
        <f>ROUND(31.18*(1+AA6)*(1+AA5)+AA7,2)</f>
        <v>#VALUE!</v>
      </c>
      <c r="AL53" s="4" t="e">
        <f>ROUND(32.46*(1+AA6)*(1+AA5)+AA7,2)</f>
        <v>#VALUE!</v>
      </c>
      <c r="AM53" s="4" t="e">
        <f>ROUND(35.07*(1+AA6)*(1+AA5)+AA7,2)</f>
        <v>#VALUE!</v>
      </c>
      <c r="AN53" s="4" t="e">
        <f>ROUND(37.15*(1+AA6)*(1+AA5)+AA7,2)</f>
        <v>#VALUE!</v>
      </c>
      <c r="AO53" s="4" t="e">
        <f>ROUND(38.4*(1+AA6)*(1+AA5)+AA7,2)</f>
        <v>#VALUE!</v>
      </c>
      <c r="AP53" s="4" t="e">
        <f>ROUND(40.36*(1+AA6)*(1+AA5)+AA7,2)</f>
        <v>#VALUE!</v>
      </c>
      <c r="AQ53" s="4" t="e">
        <f>ROUND(43.72*(1+AA6)*(1+AA5)+AA7,2)</f>
        <v>#VALUE!</v>
      </c>
      <c r="AR53" s="4" t="e">
        <f>ROUND(46.92*(1+AA6)*(1+AA5)+AA7,2)</f>
        <v>#VALUE!</v>
      </c>
      <c r="AS53" s="4" t="e">
        <f>ROUND(53.48*(1+AA6)*(1+AA5)+AA7,2)</f>
        <v>#VALUE!</v>
      </c>
      <c r="AT53" s="4" t="e">
        <f>ROUND(55.38*(1+AA6)*(1+AA5)+AA7,2)</f>
        <v>#VALUE!</v>
      </c>
      <c r="AU53" s="4" t="e">
        <f>ROUND(56.65*(1+AA6)*(1+AA5)+AA7,2)</f>
        <v>#VALUE!</v>
      </c>
      <c r="AV53" s="4" t="e">
        <f>ROUND(60.25*(1+AA6)*(1+AA5)+AA7,2)</f>
        <v>#VALUE!</v>
      </c>
      <c r="AW53" s="4" t="e">
        <f>ROUND(62.46*(1+AA6)*(1+AA5)+AA7,2)</f>
        <v>#VALUE!</v>
      </c>
      <c r="AX53" s="4" t="e">
        <f>ROUND(69.64*(1+AA6)*(1+AA5)+AA7,2)</f>
        <v>#VALUE!</v>
      </c>
      <c r="AY53" s="4" t="e">
        <f>ROUND(76.59*(1+AA6)*(1+AA5)+AA7,2)</f>
        <v>#VALUE!</v>
      </c>
      <c r="AZ53" s="4" t="e">
        <f>ROUND(84.27*(1+AA6)*(1+AA5)+AA7,2)</f>
        <v>#VALUE!</v>
      </c>
      <c r="BA53" s="4"/>
      <c r="BB53" s="4"/>
      <c r="BC53" s="4"/>
      <c r="BD53" s="4"/>
    </row>
    <row r="54" spans="1:56" x14ac:dyDescent="0.3">
      <c r="A54" s="4"/>
      <c r="B54" s="19"/>
      <c r="C54" s="7">
        <v>1067</v>
      </c>
      <c r="D54" s="4">
        <v>23.63</v>
      </c>
      <c r="E54" s="4">
        <v>25.78</v>
      </c>
      <c r="F54" s="4">
        <v>27.93</v>
      </c>
      <c r="G54" s="4">
        <v>29.45</v>
      </c>
      <c r="H54" s="4">
        <v>33.17</v>
      </c>
      <c r="I54" s="4">
        <v>34.51</v>
      </c>
      <c r="J54" s="4">
        <v>37.479999999999997</v>
      </c>
      <c r="K54" s="4">
        <v>39.729999999999997</v>
      </c>
      <c r="L54" s="4">
        <v>41.1</v>
      </c>
      <c r="M54" s="4">
        <v>43.24</v>
      </c>
      <c r="N54" s="4">
        <v>46.95</v>
      </c>
      <c r="O54" s="4">
        <v>50.47</v>
      </c>
      <c r="P54" s="4">
        <v>57.76</v>
      </c>
      <c r="Q54" s="4">
        <v>59.85</v>
      </c>
      <c r="R54" s="4">
        <v>61.22</v>
      </c>
      <c r="S54" s="4">
        <v>65.23</v>
      </c>
      <c r="T54" s="4">
        <v>67.7</v>
      </c>
      <c r="U54" s="4">
        <v>75.73</v>
      </c>
      <c r="V54" s="4">
        <v>83.29</v>
      </c>
      <c r="W54" s="4">
        <v>91.61</v>
      </c>
      <c r="X54" s="11"/>
      <c r="Y54" s="11"/>
      <c r="Z54" s="11"/>
      <c r="AA54" s="11"/>
      <c r="AB54" s="11"/>
      <c r="AC54" s="11"/>
      <c r="AD54" s="15"/>
      <c r="AE54" s="19"/>
      <c r="AF54" s="7">
        <v>1067</v>
      </c>
      <c r="AG54" s="4" t="e">
        <f>ROUND(23.63*(1+AA6)*(1+AA5)+AA7,2)</f>
        <v>#VALUE!</v>
      </c>
      <c r="AH54" s="4" t="e">
        <f>ROUND(25.78*(1+AA6)*(1+AA5)+AA7,2)</f>
        <v>#VALUE!</v>
      </c>
      <c r="AI54" s="4" t="e">
        <f>ROUND(27.93*(1+AA6)*(1+AA5)+AA7,2)</f>
        <v>#VALUE!</v>
      </c>
      <c r="AJ54" s="4" t="e">
        <f>ROUND(29.45*(1+AA6)*(1+AA5)+AA7,2)</f>
        <v>#VALUE!</v>
      </c>
      <c r="AK54" s="4" t="e">
        <f>ROUND(33.17*(1+AA6)*(1+AA5)+AA7,2)</f>
        <v>#VALUE!</v>
      </c>
      <c r="AL54" s="4" t="e">
        <f>ROUND(34.51*(1+AA6)*(1+AA5)+AA7,2)</f>
        <v>#VALUE!</v>
      </c>
      <c r="AM54" s="4" t="e">
        <f>ROUND(37.48*(1+AA6)*(1+AA5)+AA7,2)</f>
        <v>#VALUE!</v>
      </c>
      <c r="AN54" s="4" t="e">
        <f>ROUND(39.73*(1+AA6)*(1+AA5)+AA7,2)</f>
        <v>#VALUE!</v>
      </c>
      <c r="AO54" s="4" t="e">
        <f>ROUND(41.1*(1+AA6)*(1+AA5)+AA7,2)</f>
        <v>#VALUE!</v>
      </c>
      <c r="AP54" s="4" t="e">
        <f>ROUND(43.24*(1+AA6)*(1+AA5)+AA7,2)</f>
        <v>#VALUE!</v>
      </c>
      <c r="AQ54" s="4" t="e">
        <f>ROUND(46.95*(1+AA6)*(1+AA5)+AA7,2)</f>
        <v>#VALUE!</v>
      </c>
      <c r="AR54" s="4" t="e">
        <f>ROUND(50.47*(1+AA6)*(1+AA5)+AA7,2)</f>
        <v>#VALUE!</v>
      </c>
      <c r="AS54" s="4" t="e">
        <f>ROUND(57.76*(1+AA6)*(1+AA5)+AA7,2)</f>
        <v>#VALUE!</v>
      </c>
      <c r="AT54" s="4" t="e">
        <f>ROUND(59.85*(1+AA6)*(1+AA5)+AA7,2)</f>
        <v>#VALUE!</v>
      </c>
      <c r="AU54" s="4" t="e">
        <f>ROUND(61.22*(1+AA6)*(1+AA5)+AA7,2)</f>
        <v>#VALUE!</v>
      </c>
      <c r="AV54" s="4" t="e">
        <f>ROUND(65.23*(1+AA6)*(1+AA5)+AA7,2)</f>
        <v>#VALUE!</v>
      </c>
      <c r="AW54" s="4" t="e">
        <f>ROUND(67.7*(1+AA6)*(1+AA5)+AA7,2)</f>
        <v>#VALUE!</v>
      </c>
      <c r="AX54" s="4" t="e">
        <f>ROUND(75.73*(1+AA6)*(1+AA5)+AA7,2)</f>
        <v>#VALUE!</v>
      </c>
      <c r="AY54" s="4" t="e">
        <f>ROUND(83.29*(1+AA6)*(1+AA5)+AA7,2)</f>
        <v>#VALUE!</v>
      </c>
      <c r="AZ54" s="4" t="e">
        <f>ROUND(91.61*(1+AA6)*(1+AA5)+AA7,2)</f>
        <v>#VALUE!</v>
      </c>
      <c r="BA54" s="4"/>
      <c r="BB54" s="4"/>
      <c r="BC54" s="4"/>
      <c r="BD54" s="4"/>
    </row>
    <row r="55" spans="1:56" x14ac:dyDescent="0.3">
      <c r="A55" s="4"/>
      <c r="B55" s="19"/>
      <c r="C55" s="7">
        <v>1219</v>
      </c>
      <c r="D55" s="4">
        <v>24.67</v>
      </c>
      <c r="E55" s="4">
        <v>27.02</v>
      </c>
      <c r="F55" s="4">
        <v>29.4</v>
      </c>
      <c r="G55" s="4">
        <v>30.99</v>
      </c>
      <c r="H55" s="4">
        <v>35.090000000000003</v>
      </c>
      <c r="I55" s="4">
        <v>36.6</v>
      </c>
      <c r="J55" s="4">
        <v>39.83</v>
      </c>
      <c r="K55" s="4">
        <v>42.34</v>
      </c>
      <c r="L55" s="4">
        <v>43.8</v>
      </c>
      <c r="M55" s="4">
        <v>46.14</v>
      </c>
      <c r="N55" s="4">
        <v>50.13</v>
      </c>
      <c r="O55" s="4">
        <v>53.98</v>
      </c>
      <c r="P55" s="4">
        <v>62.04</v>
      </c>
      <c r="Q55" s="4">
        <v>64.319999999999993</v>
      </c>
      <c r="R55" s="4">
        <v>65.819999999999993</v>
      </c>
      <c r="S55" s="4">
        <v>70.209999999999994</v>
      </c>
      <c r="T55" s="4">
        <v>72.89</v>
      </c>
      <c r="U55" s="4">
        <v>81.739999999999995</v>
      </c>
      <c r="V55" s="4">
        <v>89.9</v>
      </c>
      <c r="W55" s="4">
        <v>98.88</v>
      </c>
      <c r="X55" s="11"/>
      <c r="Y55" s="11"/>
      <c r="Z55" s="11"/>
      <c r="AA55" s="11"/>
      <c r="AB55" s="11"/>
      <c r="AC55" s="11"/>
      <c r="AD55" s="15"/>
      <c r="AE55" s="19"/>
      <c r="AF55" s="7">
        <v>1219</v>
      </c>
      <c r="AG55" s="4" t="e">
        <f>ROUND(24.67*(1+AA6)*(1+AA5)+AA7,2)</f>
        <v>#VALUE!</v>
      </c>
      <c r="AH55" s="4" t="e">
        <f>ROUND(27.02*(1+AA6)*(1+AA5)+AA7,2)</f>
        <v>#VALUE!</v>
      </c>
      <c r="AI55" s="4" t="e">
        <f>ROUND(29.4*(1+AA6)*(1+AA5)+AA7,2)</f>
        <v>#VALUE!</v>
      </c>
      <c r="AJ55" s="4" t="e">
        <f>ROUND(30.99*(1+AA6)*(1+AA5)+AA7,2)</f>
        <v>#VALUE!</v>
      </c>
      <c r="AK55" s="4" t="e">
        <f>ROUND(35.09*(1+AA6)*(1+AA5)+AA7,2)</f>
        <v>#VALUE!</v>
      </c>
      <c r="AL55" s="4" t="e">
        <f>ROUND(36.6*(1+AA6)*(1+AA5)+AA7,2)</f>
        <v>#VALUE!</v>
      </c>
      <c r="AM55" s="4" t="e">
        <f>ROUND(39.83*(1+AA6)*(1+AA5)+AA7,2)</f>
        <v>#VALUE!</v>
      </c>
      <c r="AN55" s="4" t="e">
        <f>ROUND(42.34*(1+AA6)*(1+AA5)+AA7,2)</f>
        <v>#VALUE!</v>
      </c>
      <c r="AO55" s="4" t="e">
        <f>ROUND(43.8*(1+AA6)*(1+AA5)+AA7,2)</f>
        <v>#VALUE!</v>
      </c>
      <c r="AP55" s="4" t="e">
        <f>ROUND(46.14*(1+AA6)*(1+AA5)+AA7,2)</f>
        <v>#VALUE!</v>
      </c>
      <c r="AQ55" s="4" t="e">
        <f>ROUND(50.13*(1+AA6)*(1+AA5)+AA7,2)</f>
        <v>#VALUE!</v>
      </c>
      <c r="AR55" s="4" t="e">
        <f>ROUND(53.98*(1+AA6)*(1+AA5)+AA7,2)</f>
        <v>#VALUE!</v>
      </c>
      <c r="AS55" s="4" t="e">
        <f>ROUND(62.04*(1+AA6)*(1+AA5)+AA7,2)</f>
        <v>#VALUE!</v>
      </c>
      <c r="AT55" s="4" t="e">
        <f>ROUND(64.32*(1+AA6)*(1+AA5)+AA7,2)</f>
        <v>#VALUE!</v>
      </c>
      <c r="AU55" s="4" t="e">
        <f>ROUND(65.82*(1+AA6)*(1+AA5)+AA7,2)</f>
        <v>#VALUE!</v>
      </c>
      <c r="AV55" s="4" t="e">
        <f>ROUND(70.21*(1+AA6)*(1+AA5)+AA7,2)</f>
        <v>#VALUE!</v>
      </c>
      <c r="AW55" s="4" t="e">
        <f>ROUND(72.89*(1+AA6)*(1+AA5)+AA7,2)</f>
        <v>#VALUE!</v>
      </c>
      <c r="AX55" s="4" t="e">
        <f>ROUND(81.74*(1+AA6)*(1+AA5)+AA7,2)</f>
        <v>#VALUE!</v>
      </c>
      <c r="AY55" s="4" t="e">
        <f>ROUND(89.9*(1+AA6)*(1+AA5)+AA7,2)</f>
        <v>#VALUE!</v>
      </c>
      <c r="AZ55" s="4" t="e">
        <f>ROUND(98.88*(1+AA6)*(1+AA5)+AA7,2)</f>
        <v>#VALUE!</v>
      </c>
      <c r="BA55" s="4"/>
      <c r="BB55" s="4"/>
      <c r="BC55" s="4"/>
      <c r="BD55" s="4"/>
    </row>
    <row r="56" spans="1:56" x14ac:dyDescent="0.3">
      <c r="A56" s="4"/>
      <c r="B56" s="19"/>
      <c r="C56" s="7">
        <v>1524</v>
      </c>
      <c r="D56" s="4">
        <v>26.7</v>
      </c>
      <c r="E56" s="4">
        <v>29.48</v>
      </c>
      <c r="F56" s="4">
        <v>32.24</v>
      </c>
      <c r="G56" s="4">
        <v>34.08</v>
      </c>
      <c r="H56" s="4">
        <v>39.04</v>
      </c>
      <c r="I56" s="4">
        <v>40.74</v>
      </c>
      <c r="J56" s="4">
        <v>44.61</v>
      </c>
      <c r="K56" s="4">
        <v>47.47</v>
      </c>
      <c r="L56" s="4">
        <v>49.2</v>
      </c>
      <c r="M56" s="4">
        <v>51.97</v>
      </c>
      <c r="N56" s="4">
        <v>56.59</v>
      </c>
      <c r="O56" s="4">
        <v>61.03</v>
      </c>
      <c r="P56" s="4">
        <v>70.56</v>
      </c>
      <c r="Q56" s="4">
        <v>73.28</v>
      </c>
      <c r="R56" s="4">
        <v>74.959999999999994</v>
      </c>
      <c r="S56" s="4">
        <v>80.22</v>
      </c>
      <c r="T56" s="4">
        <v>83.29</v>
      </c>
      <c r="U56" s="4">
        <v>93.78</v>
      </c>
      <c r="V56" s="4">
        <v>103.21</v>
      </c>
      <c r="W56" s="4">
        <v>113.49</v>
      </c>
      <c r="X56" s="11"/>
      <c r="Y56" s="11"/>
      <c r="Z56" s="11"/>
      <c r="AA56" s="11"/>
      <c r="AB56" s="11"/>
      <c r="AC56" s="11"/>
      <c r="AD56" s="15"/>
      <c r="AE56" s="19"/>
      <c r="AF56" s="7">
        <v>1524</v>
      </c>
      <c r="AG56" s="4" t="e">
        <f>ROUND(26.7*(1+AA6)*(1+AA5)+AA7,2)</f>
        <v>#VALUE!</v>
      </c>
      <c r="AH56" s="4" t="e">
        <f>ROUND(29.48*(1+AA6)*(1+AA5)+AA7,2)</f>
        <v>#VALUE!</v>
      </c>
      <c r="AI56" s="4" t="e">
        <f>ROUND(32.24*(1+AA6)*(1+AA5)+AA7,2)</f>
        <v>#VALUE!</v>
      </c>
      <c r="AJ56" s="4" t="e">
        <f>ROUND(34.08*(1+AA6)*(1+AA5)+AA7,2)</f>
        <v>#VALUE!</v>
      </c>
      <c r="AK56" s="4" t="e">
        <f>ROUND(39.04*(1+AA6)*(1+AA5)+AA7,2)</f>
        <v>#VALUE!</v>
      </c>
      <c r="AL56" s="4" t="e">
        <f>ROUND(40.74*(1+AA6)*(1+AA5)+AA7,2)</f>
        <v>#VALUE!</v>
      </c>
      <c r="AM56" s="4" t="e">
        <f>ROUND(44.61*(1+AA6)*(1+AA5)+AA7,2)</f>
        <v>#VALUE!</v>
      </c>
      <c r="AN56" s="4" t="e">
        <f>ROUND(47.47*(1+AA6)*(1+AA5)+AA7,2)</f>
        <v>#VALUE!</v>
      </c>
      <c r="AO56" s="4" t="e">
        <f>ROUND(49.2*(1+AA6)*(1+AA5)+AA7,2)</f>
        <v>#VALUE!</v>
      </c>
      <c r="AP56" s="4" t="e">
        <f>ROUND(51.97*(1+AA6)*(1+AA5)+AA7,2)</f>
        <v>#VALUE!</v>
      </c>
      <c r="AQ56" s="4" t="e">
        <f>ROUND(56.59*(1+AA6)*(1+AA5)+AA7,2)</f>
        <v>#VALUE!</v>
      </c>
      <c r="AR56" s="4" t="e">
        <f>ROUND(61.03*(1+AA6)*(1+AA5)+AA7,2)</f>
        <v>#VALUE!</v>
      </c>
      <c r="AS56" s="4" t="e">
        <f>ROUND(70.56*(1+AA6)*(1+AA5)+AA7,2)</f>
        <v>#VALUE!</v>
      </c>
      <c r="AT56" s="4" t="e">
        <f>ROUND(73.28*(1+AA6)*(1+AA5)+AA7,2)</f>
        <v>#VALUE!</v>
      </c>
      <c r="AU56" s="4" t="e">
        <f>ROUND(74.96*(1+AA6)*(1+AA5)+AA7,2)</f>
        <v>#VALUE!</v>
      </c>
      <c r="AV56" s="4" t="e">
        <f>ROUND(80.22*(1+AA6)*(1+AA5)+AA7,2)</f>
        <v>#VALUE!</v>
      </c>
      <c r="AW56" s="4" t="e">
        <f>ROUND(83.29*(1+AA6)*(1+AA5)+AA7,2)</f>
        <v>#VALUE!</v>
      </c>
      <c r="AX56" s="4" t="e">
        <f>ROUND(93.78*(1+AA6)*(1+AA5)+AA7,2)</f>
        <v>#VALUE!</v>
      </c>
      <c r="AY56" s="4" t="e">
        <f>ROUND(103.21*(1+AA6)*(1+AA5)+AA7,2)</f>
        <v>#VALUE!</v>
      </c>
      <c r="AZ56" s="4" t="e">
        <f>ROUND(113.49*(1+AA6)*(1+AA5)+AA7,2)</f>
        <v>#VALUE!</v>
      </c>
      <c r="BA56" s="4"/>
      <c r="BB56" s="4"/>
      <c r="BC56" s="4"/>
      <c r="BD56" s="4"/>
    </row>
    <row r="57" spans="1:56" x14ac:dyDescent="0.3">
      <c r="A57" s="4"/>
      <c r="B57" s="19"/>
      <c r="C57" s="7">
        <v>1829</v>
      </c>
      <c r="D57" s="4">
        <v>28.73</v>
      </c>
      <c r="E57" s="4">
        <v>31.92</v>
      </c>
      <c r="F57" s="4">
        <v>35.119999999999997</v>
      </c>
      <c r="G57" s="4">
        <v>37.15</v>
      </c>
      <c r="H57" s="4">
        <v>42.96</v>
      </c>
      <c r="I57" s="4">
        <v>44.86</v>
      </c>
      <c r="J57" s="4">
        <v>49.34</v>
      </c>
      <c r="K57" s="4">
        <v>52.69</v>
      </c>
      <c r="L57" s="4">
        <v>54.57</v>
      </c>
      <c r="M57" s="4">
        <v>57.76</v>
      </c>
      <c r="N57" s="4">
        <v>63.02</v>
      </c>
      <c r="O57" s="4">
        <v>68.13</v>
      </c>
      <c r="P57" s="4">
        <v>79.09</v>
      </c>
      <c r="Q57" s="4">
        <v>82.21</v>
      </c>
      <c r="R57" s="4">
        <v>84.08</v>
      </c>
      <c r="S57" s="4">
        <v>90.22</v>
      </c>
      <c r="T57" s="4">
        <v>93.7</v>
      </c>
      <c r="U57" s="4">
        <v>105.92</v>
      </c>
      <c r="V57" s="4">
        <v>116.51</v>
      </c>
      <c r="W57" s="4">
        <v>128.13</v>
      </c>
      <c r="X57" s="11"/>
      <c r="Y57" s="11"/>
      <c r="Z57" s="11"/>
      <c r="AA57" s="11"/>
      <c r="AB57" s="11"/>
      <c r="AC57" s="11"/>
      <c r="AD57" s="15"/>
      <c r="AE57" s="19"/>
      <c r="AF57" s="7">
        <v>1829</v>
      </c>
      <c r="AG57" s="4" t="e">
        <f>ROUND(28.73*(1+AA6)*(1+AA5)+AA7,2)</f>
        <v>#VALUE!</v>
      </c>
      <c r="AH57" s="4" t="e">
        <f>ROUND(31.92*(1+AA6)*(1+AA5)+AA7,2)</f>
        <v>#VALUE!</v>
      </c>
      <c r="AI57" s="4" t="e">
        <f>ROUND(35.12*(1+AA6)*(1+AA5)+AA7,2)</f>
        <v>#VALUE!</v>
      </c>
      <c r="AJ57" s="4" t="e">
        <f>ROUND(37.15*(1+AA6)*(1+AA5)+AA7,2)</f>
        <v>#VALUE!</v>
      </c>
      <c r="AK57" s="4" t="e">
        <f>ROUND(42.96*(1+AA6)*(1+AA5)+AA7,2)</f>
        <v>#VALUE!</v>
      </c>
      <c r="AL57" s="4" t="e">
        <f>ROUND(44.86*(1+AA6)*(1+AA5)+AA7,2)</f>
        <v>#VALUE!</v>
      </c>
      <c r="AM57" s="4" t="e">
        <f>ROUND(49.34*(1+AA6)*(1+AA5)+AA7,2)</f>
        <v>#VALUE!</v>
      </c>
      <c r="AN57" s="4" t="e">
        <f>ROUND(52.69*(1+AA6)*(1+AA5)+AA7,2)</f>
        <v>#VALUE!</v>
      </c>
      <c r="AO57" s="4" t="e">
        <f>ROUND(54.57*(1+AA6)*(1+AA5)+AA7,2)</f>
        <v>#VALUE!</v>
      </c>
      <c r="AP57" s="4" t="e">
        <f>ROUND(57.76*(1+AA6)*(1+AA5)+AA7,2)</f>
        <v>#VALUE!</v>
      </c>
      <c r="AQ57" s="4" t="e">
        <f>ROUND(63.02*(1+AA6)*(1+AA5)+AA7,2)</f>
        <v>#VALUE!</v>
      </c>
      <c r="AR57" s="4" t="e">
        <f>ROUND(68.13*(1+AA6)*(1+AA5)+AA7,2)</f>
        <v>#VALUE!</v>
      </c>
      <c r="AS57" s="4" t="e">
        <f>ROUND(79.09*(1+AA6)*(1+AA5)+AA7,2)</f>
        <v>#VALUE!</v>
      </c>
      <c r="AT57" s="4" t="e">
        <f>ROUND(82.21*(1+AA6)*(1+AA5)+AA7,2)</f>
        <v>#VALUE!</v>
      </c>
      <c r="AU57" s="4" t="e">
        <f>ROUND(84.08*(1+AA6)*(1+AA5)+AA7,2)</f>
        <v>#VALUE!</v>
      </c>
      <c r="AV57" s="4" t="e">
        <f>ROUND(90.22*(1+AA6)*(1+AA5)+AA7,2)</f>
        <v>#VALUE!</v>
      </c>
      <c r="AW57" s="4" t="e">
        <f>ROUND(93.7*(1+AA6)*(1+AA5)+AA7,2)</f>
        <v>#VALUE!</v>
      </c>
      <c r="AX57" s="4" t="e">
        <f>ROUND(105.92*(1+AA6)*(1+AA5)+AA7,2)</f>
        <v>#VALUE!</v>
      </c>
      <c r="AY57" s="4" t="e">
        <f>ROUND(116.51*(1+AA6)*(1+AA5)+AA7,2)</f>
        <v>#VALUE!</v>
      </c>
      <c r="AZ57" s="4" t="e">
        <f>ROUND(128.13*(1+AA6)*(1+AA5)+AA7,2)</f>
        <v>#VALUE!</v>
      </c>
      <c r="BA57" s="4"/>
      <c r="BB57" s="4"/>
      <c r="BC57" s="4"/>
      <c r="BD57" s="4"/>
    </row>
    <row r="58" spans="1:56" x14ac:dyDescent="0.3">
      <c r="A58" s="4"/>
      <c r="B58" s="19"/>
      <c r="C58" s="7">
        <v>2135</v>
      </c>
      <c r="D58" s="4">
        <v>30.79</v>
      </c>
      <c r="E58" s="4">
        <v>34.4</v>
      </c>
      <c r="F58" s="4">
        <v>38</v>
      </c>
      <c r="G58" s="4">
        <v>40.229999999999997</v>
      </c>
      <c r="H58" s="4">
        <v>46.89</v>
      </c>
      <c r="I58" s="4">
        <v>48.99</v>
      </c>
      <c r="J58" s="4">
        <v>54.12</v>
      </c>
      <c r="K58" s="4">
        <v>57.85</v>
      </c>
      <c r="L58" s="4">
        <v>59.93</v>
      </c>
      <c r="M58" s="4">
        <v>63.59</v>
      </c>
      <c r="N58" s="4">
        <v>69.47</v>
      </c>
      <c r="O58" s="4">
        <v>75.19</v>
      </c>
      <c r="P58" s="4">
        <v>87.6</v>
      </c>
      <c r="Q58" s="4">
        <v>91.14</v>
      </c>
      <c r="R58" s="4">
        <v>93.25</v>
      </c>
      <c r="S58" s="4">
        <v>100.21</v>
      </c>
      <c r="T58" s="4">
        <v>104.12</v>
      </c>
      <c r="U58" s="4">
        <v>118</v>
      </c>
      <c r="V58" s="4">
        <v>129.77000000000001</v>
      </c>
      <c r="W58" s="4">
        <v>142.79</v>
      </c>
      <c r="X58" s="11"/>
      <c r="Y58" s="11"/>
      <c r="Z58" s="11"/>
      <c r="AA58" s="11"/>
      <c r="AB58" s="11"/>
      <c r="AC58" s="11"/>
      <c r="AD58" s="15"/>
      <c r="AE58" s="19"/>
      <c r="AF58" s="7">
        <v>2135</v>
      </c>
      <c r="AG58" s="4" t="e">
        <f>ROUND(30.79*(1+AA6)*(1+AA5)+AA7,2)</f>
        <v>#VALUE!</v>
      </c>
      <c r="AH58" s="4" t="e">
        <f>ROUND(34.4*(1+AA6)*(1+AA5)+AA7,2)</f>
        <v>#VALUE!</v>
      </c>
      <c r="AI58" s="4" t="e">
        <f>ROUND(38*(1+AA6)*(1+AA5)+AA7,2)</f>
        <v>#VALUE!</v>
      </c>
      <c r="AJ58" s="4" t="e">
        <f>ROUND(40.23*(1+AA6)*(1+AA5)+AA7,2)</f>
        <v>#VALUE!</v>
      </c>
      <c r="AK58" s="4" t="e">
        <f>ROUND(46.89*(1+AA6)*(1+AA5)+AA7,2)</f>
        <v>#VALUE!</v>
      </c>
      <c r="AL58" s="4" t="e">
        <f>ROUND(48.99*(1+AA6)*(1+AA5)+AA7,2)</f>
        <v>#VALUE!</v>
      </c>
      <c r="AM58" s="4" t="e">
        <f>ROUND(54.12*(1+AA6)*(1+AA5)+AA7,2)</f>
        <v>#VALUE!</v>
      </c>
      <c r="AN58" s="4" t="e">
        <f>ROUND(57.85*(1+AA6)*(1+AA5)+AA7,2)</f>
        <v>#VALUE!</v>
      </c>
      <c r="AO58" s="4" t="e">
        <f>ROUND(59.93*(1+AA6)*(1+AA5)+AA7,2)</f>
        <v>#VALUE!</v>
      </c>
      <c r="AP58" s="4" t="e">
        <f>ROUND(63.59*(1+AA6)*(1+AA5)+AA7,2)</f>
        <v>#VALUE!</v>
      </c>
      <c r="AQ58" s="4" t="e">
        <f>ROUND(69.47*(1+AA6)*(1+AA5)+AA7,2)</f>
        <v>#VALUE!</v>
      </c>
      <c r="AR58" s="4" t="e">
        <f>ROUND(75.19*(1+AA6)*(1+AA5)+AA7,2)</f>
        <v>#VALUE!</v>
      </c>
      <c r="AS58" s="4" t="e">
        <f>ROUND(87.6*(1+AA6)*(1+AA5)+AA7,2)</f>
        <v>#VALUE!</v>
      </c>
      <c r="AT58" s="4" t="e">
        <f>ROUND(91.14*(1+AA6)*(1+AA5)+AA7,2)</f>
        <v>#VALUE!</v>
      </c>
      <c r="AU58" s="4" t="e">
        <f>ROUND(93.25*(1+AA6)*(1+AA5)+AA7,2)</f>
        <v>#VALUE!</v>
      </c>
      <c r="AV58" s="4" t="e">
        <f>ROUND(100.21*(1+AA6)*(1+AA5)+AA7,2)</f>
        <v>#VALUE!</v>
      </c>
      <c r="AW58" s="4" t="e">
        <f>ROUND(104.12*(1+AA6)*(1+AA5)+AA7,2)</f>
        <v>#VALUE!</v>
      </c>
      <c r="AX58" s="4" t="e">
        <f>ROUND(118*(1+AA6)*(1+AA5)+AA7,2)</f>
        <v>#VALUE!</v>
      </c>
      <c r="AY58" s="4" t="e">
        <f>ROUND(129.77*(1+AA6)*(1+AA5)+AA7,2)</f>
        <v>#VALUE!</v>
      </c>
      <c r="AZ58" s="4" t="e">
        <f>ROUND(142.79*(1+AA6)*(1+AA5)+AA7,2)</f>
        <v>#VALUE!</v>
      </c>
      <c r="BA58" s="4"/>
      <c r="BB58" s="4"/>
      <c r="BC58" s="4"/>
      <c r="BD58" s="4"/>
    </row>
    <row r="59" spans="1:56" x14ac:dyDescent="0.3">
      <c r="A59" s="4"/>
      <c r="B59" s="19"/>
      <c r="C59" s="7">
        <v>2438</v>
      </c>
      <c r="D59" s="4">
        <v>32.82</v>
      </c>
      <c r="E59" s="4">
        <v>36.85</v>
      </c>
      <c r="F59" s="4">
        <v>40.869999999999997</v>
      </c>
      <c r="G59" s="4">
        <v>43.32</v>
      </c>
      <c r="H59" s="4">
        <v>50.79</v>
      </c>
      <c r="I59" s="4">
        <v>53.12</v>
      </c>
      <c r="J59" s="4">
        <v>58.87</v>
      </c>
      <c r="K59" s="4">
        <v>63.02</v>
      </c>
      <c r="L59" s="4">
        <v>65.349999999999994</v>
      </c>
      <c r="M59" s="4">
        <v>69.37</v>
      </c>
      <c r="N59" s="4">
        <v>75.87</v>
      </c>
      <c r="O59" s="4">
        <v>82.23</v>
      </c>
      <c r="P59" s="4">
        <v>96.13</v>
      </c>
      <c r="Q59" s="4">
        <v>100.06</v>
      </c>
      <c r="R59" s="4">
        <v>102.35</v>
      </c>
      <c r="S59" s="4">
        <v>110.18</v>
      </c>
      <c r="T59" s="4">
        <v>114.51</v>
      </c>
      <c r="U59" s="4">
        <v>130.05000000000001</v>
      </c>
      <c r="V59" s="4">
        <v>143.04</v>
      </c>
      <c r="W59" s="4">
        <v>157.34</v>
      </c>
      <c r="X59" s="11"/>
      <c r="Y59" s="11"/>
      <c r="Z59" s="11"/>
      <c r="AA59" s="11"/>
      <c r="AB59" s="11"/>
      <c r="AC59" s="11"/>
      <c r="AD59" s="15"/>
      <c r="AE59" s="19"/>
      <c r="AF59" s="7">
        <v>2438</v>
      </c>
      <c r="AG59" s="4" t="e">
        <f>ROUND(32.82*(1+AA6)*(1+AA5)+AA7,2)</f>
        <v>#VALUE!</v>
      </c>
      <c r="AH59" s="4" t="e">
        <f>ROUND(36.85*(1+AA6)*(1+AA5)+AA7,2)</f>
        <v>#VALUE!</v>
      </c>
      <c r="AI59" s="4" t="e">
        <f>ROUND(40.87*(1+AA6)*(1+AA5)+AA7,2)</f>
        <v>#VALUE!</v>
      </c>
      <c r="AJ59" s="4" t="e">
        <f>ROUND(43.32*(1+AA6)*(1+AA5)+AA7,2)</f>
        <v>#VALUE!</v>
      </c>
      <c r="AK59" s="4" t="e">
        <f>ROUND(50.79*(1+AA6)*(1+AA5)+AA7,2)</f>
        <v>#VALUE!</v>
      </c>
      <c r="AL59" s="4" t="e">
        <f>ROUND(53.12*(1+AA6)*(1+AA5)+AA7,2)</f>
        <v>#VALUE!</v>
      </c>
      <c r="AM59" s="4" t="e">
        <f>ROUND(58.87*(1+AA6)*(1+AA5)+AA7,2)</f>
        <v>#VALUE!</v>
      </c>
      <c r="AN59" s="4" t="e">
        <f>ROUND(63.02*(1+AA6)*(1+AA5)+AA7,2)</f>
        <v>#VALUE!</v>
      </c>
      <c r="AO59" s="4" t="e">
        <f>ROUND(65.35*(1+AA6)*(1+AA5)+AA7,2)</f>
        <v>#VALUE!</v>
      </c>
      <c r="AP59" s="4" t="e">
        <f>ROUND(69.37*(1+AA6)*(1+AA5)+AA7,2)</f>
        <v>#VALUE!</v>
      </c>
      <c r="AQ59" s="4" t="e">
        <f>ROUND(75.87*(1+AA6)*(1+AA5)+AA7,2)</f>
        <v>#VALUE!</v>
      </c>
      <c r="AR59" s="4" t="e">
        <f>ROUND(82.23*(1+AA6)*(1+AA5)+AA7,2)</f>
        <v>#VALUE!</v>
      </c>
      <c r="AS59" s="4" t="e">
        <f>ROUND(96.13*(1+AA6)*(1+AA5)+AA7,2)</f>
        <v>#VALUE!</v>
      </c>
      <c r="AT59" s="4" t="e">
        <f>ROUND(100.06*(1+AA6)*(1+AA5)+AA7,2)</f>
        <v>#VALUE!</v>
      </c>
      <c r="AU59" s="4" t="e">
        <f>ROUND(102.35*(1+AA6)*(1+AA5)+AA7,2)</f>
        <v>#VALUE!</v>
      </c>
      <c r="AV59" s="4" t="e">
        <f>ROUND(110.18*(1+AA6)*(1+AA5)+AA7,2)</f>
        <v>#VALUE!</v>
      </c>
      <c r="AW59" s="4" t="e">
        <f>ROUND(114.51*(1+AA6)*(1+AA5)+AA7,2)</f>
        <v>#VALUE!</v>
      </c>
      <c r="AX59" s="4" t="e">
        <f>ROUND(130.05*(1+AA6)*(1+AA5)+AA7,2)</f>
        <v>#VALUE!</v>
      </c>
      <c r="AY59" s="4" t="e">
        <f>ROUND(143.04*(1+AA6)*(1+AA5)+AA7,2)</f>
        <v>#VALUE!</v>
      </c>
      <c r="AZ59" s="4" t="e">
        <f>ROUND(157.34*(1+AA6)*(1+AA5)+AA7,2)</f>
        <v>#VALUE!</v>
      </c>
      <c r="BA59" s="4"/>
      <c r="BB59" s="4"/>
      <c r="BC59" s="4"/>
      <c r="BD59" s="4"/>
    </row>
    <row r="60" spans="1:56" x14ac:dyDescent="0.3">
      <c r="A60" s="4"/>
      <c r="B60" s="19"/>
      <c r="C60" s="7">
        <v>2913</v>
      </c>
      <c r="D60" s="4">
        <v>35.57</v>
      </c>
      <c r="E60" s="4">
        <v>40.19</v>
      </c>
      <c r="F60" s="4">
        <v>44.75</v>
      </c>
      <c r="G60" s="4">
        <v>47.46</v>
      </c>
      <c r="H60" s="4">
        <v>56.11</v>
      </c>
      <c r="I60" s="4">
        <v>58.72</v>
      </c>
      <c r="J60" s="4">
        <v>65.27</v>
      </c>
      <c r="K60" s="4">
        <v>70.03</v>
      </c>
      <c r="L60" s="4">
        <v>72.64</v>
      </c>
      <c r="M60" s="4">
        <v>77.2</v>
      </c>
      <c r="N60" s="4">
        <v>84.56</v>
      </c>
      <c r="O60" s="4">
        <v>91.75</v>
      </c>
      <c r="P60" s="4">
        <v>107.63</v>
      </c>
      <c r="Q60" s="4">
        <v>112.16</v>
      </c>
      <c r="R60" s="4">
        <v>116.63</v>
      </c>
      <c r="S60" s="4">
        <v>125.75</v>
      </c>
      <c r="T60" s="4">
        <v>130.68</v>
      </c>
      <c r="U60" s="4">
        <v>148.86000000000001</v>
      </c>
      <c r="V60" s="4">
        <v>163.76</v>
      </c>
      <c r="W60" s="4">
        <v>180.11</v>
      </c>
      <c r="X60" s="11"/>
      <c r="Y60" s="11"/>
      <c r="Z60" s="11"/>
      <c r="AA60" s="11"/>
      <c r="AB60" s="11"/>
      <c r="AC60" s="11"/>
      <c r="AD60" s="15"/>
      <c r="AE60" s="19"/>
      <c r="AF60" s="7">
        <v>2913</v>
      </c>
      <c r="AG60" s="4" t="e">
        <f>ROUND(35.57*(1+AA6)*(1+AA5)+AA7,2)</f>
        <v>#VALUE!</v>
      </c>
      <c r="AH60" s="4" t="e">
        <f>ROUND(40.19*(1+AA6)*(1+AA5)+AA7,2)</f>
        <v>#VALUE!</v>
      </c>
      <c r="AI60" s="4" t="e">
        <f>ROUND(44.75*(1+AA6)*(1+AA5)+AA7,2)</f>
        <v>#VALUE!</v>
      </c>
      <c r="AJ60" s="4" t="e">
        <f>ROUND(47.46*(1+AA6)*(1+AA5)+AA7,2)</f>
        <v>#VALUE!</v>
      </c>
      <c r="AK60" s="4" t="e">
        <f>ROUND(56.11*(1+AA6)*(1+AA5)+AA7,2)</f>
        <v>#VALUE!</v>
      </c>
      <c r="AL60" s="4" t="e">
        <f>ROUND(58.72*(1+AA6)*(1+AA5)+AA7,2)</f>
        <v>#VALUE!</v>
      </c>
      <c r="AM60" s="4" t="e">
        <f>ROUND(65.27*(1+AA6)*(1+AA5)+AA7,2)</f>
        <v>#VALUE!</v>
      </c>
      <c r="AN60" s="4" t="e">
        <f>ROUND(70.03*(1+AA6)*(1+AA5)+AA7,2)</f>
        <v>#VALUE!</v>
      </c>
      <c r="AO60" s="4" t="e">
        <f>ROUND(72.64*(1+AA6)*(1+AA5)+AA7,2)</f>
        <v>#VALUE!</v>
      </c>
      <c r="AP60" s="4" t="e">
        <f>ROUND(77.2*(1+AA6)*(1+AA5)+AA7,2)</f>
        <v>#VALUE!</v>
      </c>
      <c r="AQ60" s="4" t="e">
        <f>ROUND(84.56*(1+AA6)*(1+AA5)+AA7,2)</f>
        <v>#VALUE!</v>
      </c>
      <c r="AR60" s="4" t="e">
        <f>ROUND(91.75*(1+AA6)*(1+AA5)+AA7,2)</f>
        <v>#VALUE!</v>
      </c>
      <c r="AS60" s="4" t="e">
        <f>ROUND(107.63*(1+AA6)*(1+AA5)+AA7,2)</f>
        <v>#VALUE!</v>
      </c>
      <c r="AT60" s="4" t="e">
        <f>ROUND(112.16*(1+AA6)*(1+AA5)+AA7,2)</f>
        <v>#VALUE!</v>
      </c>
      <c r="AU60" s="4" t="e">
        <f>ROUND(116.63*(1+AA6)*(1+AA5)+AA7,2)</f>
        <v>#VALUE!</v>
      </c>
      <c r="AV60" s="4" t="e">
        <f>ROUND(125.75*(1+AA6)*(1+AA5)+AA7,2)</f>
        <v>#VALUE!</v>
      </c>
      <c r="AW60" s="4" t="e">
        <f>ROUND(130.68*(1+AA6)*(1+AA5)+AA7,2)</f>
        <v>#VALUE!</v>
      </c>
      <c r="AX60" s="4" t="e">
        <f>ROUND(148.86*(1+AA6)*(1+AA5)+AA7,2)</f>
        <v>#VALUE!</v>
      </c>
      <c r="AY60" s="4" t="e">
        <f>ROUND(163.76*(1+AA6)*(1+AA5)+AA7,2)</f>
        <v>#VALUE!</v>
      </c>
      <c r="AZ60" s="4" t="e">
        <f>ROUND(180.11*(1+AA6)*(1+AA5)+AA7,2)</f>
        <v>#VALUE!</v>
      </c>
      <c r="BA60" s="4"/>
      <c r="BB60" s="4"/>
      <c r="BC60" s="4"/>
      <c r="BD60" s="4"/>
    </row>
    <row r="61" spans="1:56" x14ac:dyDescent="0.3">
      <c r="A61" s="4"/>
      <c r="B61" s="19"/>
      <c r="C61" s="7">
        <v>3048</v>
      </c>
      <c r="D61" s="4">
        <v>39.119999999999997</v>
      </c>
      <c r="E61" s="4">
        <v>44.19</v>
      </c>
      <c r="F61" s="4">
        <v>49.25</v>
      </c>
      <c r="G61" s="4">
        <v>52.24</v>
      </c>
      <c r="H61" s="4">
        <v>61.72</v>
      </c>
      <c r="I61" s="4">
        <v>64.55</v>
      </c>
      <c r="J61" s="4">
        <v>71.819999999999993</v>
      </c>
      <c r="K61" s="4">
        <v>77.010000000000005</v>
      </c>
      <c r="L61" s="4">
        <v>79.89</v>
      </c>
      <c r="M61" s="4">
        <v>84.92</v>
      </c>
      <c r="N61" s="4">
        <v>93.03</v>
      </c>
      <c r="O61" s="4">
        <v>100.92</v>
      </c>
      <c r="P61" s="4">
        <v>118.4</v>
      </c>
      <c r="Q61" s="4">
        <v>123.41</v>
      </c>
      <c r="R61" s="4">
        <v>128.33000000000001</v>
      </c>
      <c r="S61" s="4">
        <v>138.29</v>
      </c>
      <c r="T61" s="4">
        <v>143.78</v>
      </c>
      <c r="U61" s="4">
        <v>163.76</v>
      </c>
      <c r="V61" s="4">
        <v>180.11</v>
      </c>
      <c r="W61" s="4">
        <v>198.14</v>
      </c>
      <c r="X61" s="11"/>
      <c r="Y61" s="11"/>
      <c r="Z61" s="11"/>
      <c r="AA61" s="11"/>
      <c r="AB61" s="11"/>
      <c r="AC61" s="11"/>
      <c r="AD61" s="15"/>
      <c r="AE61" s="19"/>
      <c r="AF61" s="7">
        <v>3048</v>
      </c>
      <c r="AG61" s="4" t="e">
        <f>ROUND(39.12*(1+AA6)*(1+AA5)+AA7,2)</f>
        <v>#VALUE!</v>
      </c>
      <c r="AH61" s="4" t="e">
        <f>ROUND(44.19*(1+AA6)*(1+AA5)+AA7,2)</f>
        <v>#VALUE!</v>
      </c>
      <c r="AI61" s="4" t="e">
        <f>ROUND(49.25*(1+AA6)*(1+AA5)+AA7,2)</f>
        <v>#VALUE!</v>
      </c>
      <c r="AJ61" s="4" t="e">
        <f>ROUND(52.24*(1+AA6)*(1+AA5)+AA7,2)</f>
        <v>#VALUE!</v>
      </c>
      <c r="AK61" s="4" t="e">
        <f>ROUND(61.72*(1+AA6)*(1+AA5)+AA7,2)</f>
        <v>#VALUE!</v>
      </c>
      <c r="AL61" s="4" t="e">
        <f>ROUND(64.55*(1+AA6)*(1+AA5)+AA7,2)</f>
        <v>#VALUE!</v>
      </c>
      <c r="AM61" s="4" t="e">
        <f>ROUND(71.82*(1+AA6)*(1+AA5)+AA7,2)</f>
        <v>#VALUE!</v>
      </c>
      <c r="AN61" s="4" t="e">
        <f>ROUND(77.01*(1+AA6)*(1+AA5)+AA7,2)</f>
        <v>#VALUE!</v>
      </c>
      <c r="AO61" s="4" t="e">
        <f>ROUND(79.89*(1+AA6)*(1+AA5)+AA7,2)</f>
        <v>#VALUE!</v>
      </c>
      <c r="AP61" s="4" t="e">
        <f>ROUND(84.92*(1+AA6)*(1+AA5)+AA7,2)</f>
        <v>#VALUE!</v>
      </c>
      <c r="AQ61" s="4" t="e">
        <f>ROUND(93.03*(1+AA6)*(1+AA5)+AA7,2)</f>
        <v>#VALUE!</v>
      </c>
      <c r="AR61" s="4" t="e">
        <f>ROUND(100.92*(1+AA6)*(1+AA5)+AA7,2)</f>
        <v>#VALUE!</v>
      </c>
      <c r="AS61" s="4" t="e">
        <f>ROUND(118.4*(1+AA6)*(1+AA5)+AA7,2)</f>
        <v>#VALUE!</v>
      </c>
      <c r="AT61" s="4" t="e">
        <f>ROUND(123.41*(1+AA6)*(1+AA5)+AA7,2)</f>
        <v>#VALUE!</v>
      </c>
      <c r="AU61" s="4" t="e">
        <f>ROUND(128.33*(1+AA6)*(1+AA5)+AA7,2)</f>
        <v>#VALUE!</v>
      </c>
      <c r="AV61" s="4" t="e">
        <f>ROUND(138.29*(1+AA6)*(1+AA5)+AA7,2)</f>
        <v>#VALUE!</v>
      </c>
      <c r="AW61" s="4" t="e">
        <f>ROUND(143.78*(1+AA6)*(1+AA5)+AA7,2)</f>
        <v>#VALUE!</v>
      </c>
      <c r="AX61" s="4" t="e">
        <f>ROUND(163.76*(1+AA6)*(1+AA5)+AA7,2)</f>
        <v>#VALUE!</v>
      </c>
      <c r="AY61" s="4" t="e">
        <f>ROUND(180.11*(1+AA6)*(1+AA5)+AA7,2)</f>
        <v>#VALUE!</v>
      </c>
      <c r="AZ61" s="4" t="e">
        <f>ROUND(198.14*(1+AA6)*(1+AA5)+AA7,2)</f>
        <v>#VALUE!</v>
      </c>
      <c r="BA61" s="4"/>
      <c r="BB61" s="4"/>
      <c r="BC61" s="4"/>
      <c r="BD61" s="4"/>
    </row>
    <row r="62" spans="1:56" x14ac:dyDescent="0.3">
      <c r="A62" s="4"/>
      <c r="B62" s="19"/>
      <c r="C62" s="7">
        <v>3300</v>
      </c>
      <c r="D62" s="4">
        <v>43.04</v>
      </c>
      <c r="E62" s="4">
        <v>48.57</v>
      </c>
      <c r="F62" s="4">
        <v>54.16</v>
      </c>
      <c r="G62" s="4">
        <v>57.5</v>
      </c>
      <c r="H62" s="4">
        <v>67.87</v>
      </c>
      <c r="I62" s="4">
        <v>71.010000000000005</v>
      </c>
      <c r="J62" s="4">
        <v>78.989999999999995</v>
      </c>
      <c r="K62" s="4">
        <v>84.75</v>
      </c>
      <c r="L62" s="4">
        <v>87.88</v>
      </c>
      <c r="M62" s="4">
        <v>93.43</v>
      </c>
      <c r="N62" s="4">
        <v>102.32</v>
      </c>
      <c r="O62" s="4">
        <v>111.05</v>
      </c>
      <c r="P62" s="4">
        <v>130.25</v>
      </c>
      <c r="Q62" s="4">
        <v>135.72999999999999</v>
      </c>
      <c r="R62" s="4">
        <v>141.13</v>
      </c>
      <c r="S62" s="4">
        <v>152.13999999999999</v>
      </c>
      <c r="T62" s="4">
        <v>158.16</v>
      </c>
      <c r="U62" s="4">
        <v>180.11</v>
      </c>
      <c r="V62" s="4">
        <v>198.14</v>
      </c>
      <c r="W62" s="4">
        <v>217.94</v>
      </c>
      <c r="X62" s="11"/>
      <c r="Y62" s="11"/>
      <c r="Z62" s="11"/>
      <c r="AA62" s="11"/>
      <c r="AB62" s="11"/>
      <c r="AC62" s="11"/>
      <c r="AD62" s="15"/>
      <c r="AE62" s="19"/>
      <c r="AF62" s="7">
        <v>3300</v>
      </c>
      <c r="AG62" s="4" t="e">
        <f>ROUND(43.04*(1+AA6)*(1+AA5)+AA7,2)</f>
        <v>#VALUE!</v>
      </c>
      <c r="AH62" s="4" t="e">
        <f>ROUND(48.57*(1+AA6)*(1+AA5)+AA7,2)</f>
        <v>#VALUE!</v>
      </c>
      <c r="AI62" s="4" t="e">
        <f>ROUND(54.16*(1+AA6)*(1+AA5)+AA7,2)</f>
        <v>#VALUE!</v>
      </c>
      <c r="AJ62" s="4" t="e">
        <f>ROUND(57.5*(1+AA6)*(1+AA5)+AA7,2)</f>
        <v>#VALUE!</v>
      </c>
      <c r="AK62" s="4" t="e">
        <f>ROUND(67.87*(1+AA6)*(1+AA5)+AA7,2)</f>
        <v>#VALUE!</v>
      </c>
      <c r="AL62" s="4" t="e">
        <f>ROUND(71.01*(1+AA6)*(1+AA5)+AA7,2)</f>
        <v>#VALUE!</v>
      </c>
      <c r="AM62" s="4" t="e">
        <f>ROUND(78.99*(1+AA6)*(1+AA5)+AA7,2)</f>
        <v>#VALUE!</v>
      </c>
      <c r="AN62" s="4" t="e">
        <f>ROUND(84.75*(1+AA6)*(1+AA5)+AA7,2)</f>
        <v>#VALUE!</v>
      </c>
      <c r="AO62" s="4" t="e">
        <f>ROUND(87.88*(1+AA6)*(1+AA5)+AA7,2)</f>
        <v>#VALUE!</v>
      </c>
      <c r="AP62" s="4" t="e">
        <f>ROUND(93.43*(1+AA6)*(1+AA5)+AA7,2)</f>
        <v>#VALUE!</v>
      </c>
      <c r="AQ62" s="4" t="e">
        <f>ROUND(102.32*(1+AA6)*(1+AA5)+AA7,2)</f>
        <v>#VALUE!</v>
      </c>
      <c r="AR62" s="4" t="e">
        <f>ROUND(111.05*(1+AA6)*(1+AA5)+AA7,2)</f>
        <v>#VALUE!</v>
      </c>
      <c r="AS62" s="4" t="e">
        <f>ROUND(130.25*(1+AA6)*(1+AA5)+AA7,2)</f>
        <v>#VALUE!</v>
      </c>
      <c r="AT62" s="4" t="e">
        <f>ROUND(135.73*(1+AA6)*(1+AA5)+AA7,2)</f>
        <v>#VALUE!</v>
      </c>
      <c r="AU62" s="4" t="e">
        <f>ROUND(141.13*(1+AA6)*(1+AA5)+AA7,2)</f>
        <v>#VALUE!</v>
      </c>
      <c r="AV62" s="4" t="e">
        <f>ROUND(152.14*(1+AA6)*(1+AA5)+AA7,2)</f>
        <v>#VALUE!</v>
      </c>
      <c r="AW62" s="4" t="e">
        <f>ROUND(158.16*(1+AA6)*(1+AA5)+AA7,2)</f>
        <v>#VALUE!</v>
      </c>
      <c r="AX62" s="4" t="e">
        <f>ROUND(180.11*(1+AA6)*(1+AA5)+AA7,2)</f>
        <v>#VALUE!</v>
      </c>
      <c r="AY62" s="4" t="e">
        <f>ROUND(198.14*(1+AA6)*(1+AA5)+AA7,2)</f>
        <v>#VALUE!</v>
      </c>
      <c r="AZ62" s="4" t="e">
        <f>ROUND(217.94*(1+AA6)*(1+AA5)+AA7,2)</f>
        <v>#VALUE!</v>
      </c>
      <c r="BA62" s="4"/>
      <c r="BB62" s="4"/>
      <c r="BC62" s="4"/>
      <c r="BD62" s="4"/>
    </row>
    <row r="63" spans="1:56" x14ac:dyDescent="0.3">
      <c r="A63" s="4"/>
      <c r="B63" s="19"/>
      <c r="C63" s="7">
        <v>3500</v>
      </c>
      <c r="D63" s="4">
        <v>47.36</v>
      </c>
      <c r="E63" s="4">
        <v>53.46</v>
      </c>
      <c r="F63" s="4">
        <v>59.57</v>
      </c>
      <c r="G63" s="4">
        <v>63.22</v>
      </c>
      <c r="H63" s="4">
        <v>74.680000000000007</v>
      </c>
      <c r="I63" s="4">
        <v>78.099999999999994</v>
      </c>
      <c r="J63" s="4">
        <v>86.9</v>
      </c>
      <c r="K63" s="4">
        <v>93.2</v>
      </c>
      <c r="L63" s="4">
        <v>96.67</v>
      </c>
      <c r="M63" s="4">
        <v>102.78</v>
      </c>
      <c r="N63" s="4">
        <v>112.57</v>
      </c>
      <c r="O63" s="4">
        <v>122.15</v>
      </c>
      <c r="P63" s="4">
        <v>143.28</v>
      </c>
      <c r="Q63" s="4">
        <v>149.29</v>
      </c>
      <c r="R63" s="4">
        <v>155.30000000000001</v>
      </c>
      <c r="S63" s="4">
        <v>167.34</v>
      </c>
      <c r="T63" s="4">
        <v>173.99</v>
      </c>
      <c r="U63" s="4">
        <v>198.14</v>
      </c>
      <c r="V63" s="4">
        <v>217.94</v>
      </c>
      <c r="W63" s="4">
        <v>239.73</v>
      </c>
      <c r="X63" s="11"/>
      <c r="Y63" s="11"/>
      <c r="Z63" s="11"/>
      <c r="AA63" s="11"/>
      <c r="AB63" s="11"/>
      <c r="AC63" s="11"/>
      <c r="AD63" s="15"/>
      <c r="AE63" s="19"/>
      <c r="AF63" s="7">
        <v>3500</v>
      </c>
      <c r="AG63" s="4" t="e">
        <f>ROUND(47.36*(1+AA6)*(1+AA5)+AA7,2)</f>
        <v>#VALUE!</v>
      </c>
      <c r="AH63" s="4" t="e">
        <f>ROUND(53.46*(1+AA6)*(1+AA5)+AA7,2)</f>
        <v>#VALUE!</v>
      </c>
      <c r="AI63" s="4" t="e">
        <f>ROUND(59.57*(1+AA6)*(1+AA5)+AA7,2)</f>
        <v>#VALUE!</v>
      </c>
      <c r="AJ63" s="4" t="e">
        <f>ROUND(63.22*(1+AA6)*(1+AA5)+AA7,2)</f>
        <v>#VALUE!</v>
      </c>
      <c r="AK63" s="4" t="e">
        <f>ROUND(74.68*(1+AA6)*(1+AA5)+AA7,2)</f>
        <v>#VALUE!</v>
      </c>
      <c r="AL63" s="4" t="e">
        <f>ROUND(78.1*(1+AA6)*(1+AA5)+AA7,2)</f>
        <v>#VALUE!</v>
      </c>
      <c r="AM63" s="4" t="e">
        <f>ROUND(86.9*(1+AA6)*(1+AA5)+AA7,2)</f>
        <v>#VALUE!</v>
      </c>
      <c r="AN63" s="4" t="e">
        <f>ROUND(93.2*(1+AA6)*(1+AA5)+AA7,2)</f>
        <v>#VALUE!</v>
      </c>
      <c r="AO63" s="4" t="e">
        <f>ROUND(96.67*(1+AA6)*(1+AA5)+AA7,2)</f>
        <v>#VALUE!</v>
      </c>
      <c r="AP63" s="4" t="e">
        <f>ROUND(102.78*(1+AA6)*(1+AA5)+AA7,2)</f>
        <v>#VALUE!</v>
      </c>
      <c r="AQ63" s="4" t="e">
        <f>ROUND(112.57*(1+AA6)*(1+AA5)+AA7,2)</f>
        <v>#VALUE!</v>
      </c>
      <c r="AR63" s="4" t="e">
        <f>ROUND(122.15*(1+AA6)*(1+AA5)+AA7,2)</f>
        <v>#VALUE!</v>
      </c>
      <c r="AS63" s="4" t="e">
        <f>ROUND(143.28*(1+AA6)*(1+AA5)+AA7,2)</f>
        <v>#VALUE!</v>
      </c>
      <c r="AT63" s="4" t="e">
        <f>ROUND(149.29*(1+AA6)*(1+AA5)+AA7,2)</f>
        <v>#VALUE!</v>
      </c>
      <c r="AU63" s="4" t="e">
        <f>ROUND(155.3*(1+AA6)*(1+AA5)+AA7,2)</f>
        <v>#VALUE!</v>
      </c>
      <c r="AV63" s="4" t="e">
        <f>ROUND(167.34*(1+AA6)*(1+AA5)+AA7,2)</f>
        <v>#VALUE!</v>
      </c>
      <c r="AW63" s="4" t="e">
        <f>ROUND(173.99*(1+AA6)*(1+AA5)+AA7,2)</f>
        <v>#VALUE!</v>
      </c>
      <c r="AX63" s="4" t="e">
        <f>ROUND(198.14*(1+AA6)*(1+AA5)+AA7,2)</f>
        <v>#VALUE!</v>
      </c>
      <c r="AY63" s="4" t="e">
        <f>ROUND(217.94*(1+AA6)*(1+AA5)+AA7,2)</f>
        <v>#VALUE!</v>
      </c>
      <c r="AZ63" s="4" t="e">
        <f>ROUND(239.73*(1+AA6)*(1+AA5)+AA7,2)</f>
        <v>#VALUE!</v>
      </c>
      <c r="BA63" s="4"/>
      <c r="BB63" s="4"/>
      <c r="BC63" s="4"/>
      <c r="BD63" s="4"/>
    </row>
    <row r="64" spans="1:56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</row>
    <row r="65" spans="1:56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</row>
    <row r="66" spans="1:56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</row>
    <row r="67" spans="1:56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</row>
    <row r="68" spans="1:56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</row>
    <row r="69" spans="1:56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</row>
    <row r="70" spans="1:56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</row>
    <row r="71" spans="1:56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</row>
    <row r="72" spans="1:56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</row>
    <row r="73" spans="1:56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</row>
    <row r="74" spans="1:56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</row>
    <row r="75" spans="1:56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</row>
    <row r="76" spans="1:56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</row>
    <row r="77" spans="1:56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</row>
    <row r="78" spans="1:56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</row>
    <row r="79" spans="1:56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</row>
    <row r="80" spans="1:56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</row>
    <row r="81" spans="1:56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</row>
    <row r="82" spans="1:56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</row>
    <row r="83" spans="1:56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</row>
    <row r="84" spans="1:56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</row>
    <row r="85" spans="1:56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</row>
    <row r="86" spans="1:56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</row>
    <row r="87" spans="1:56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spans="1:56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</row>
    <row r="89" spans="1:56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spans="1:56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1:56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1:56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spans="1:56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1:56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spans="1:56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</row>
    <row r="97" spans="1:56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</row>
    <row r="98" spans="1:56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spans="1:56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</row>
    <row r="100" spans="1:56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</row>
    <row r="101" spans="1:56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</row>
    <row r="102" spans="1:56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</row>
    <row r="103" spans="1:56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</row>
    <row r="104" spans="1:56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</row>
    <row r="105" spans="1:56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</row>
    <row r="106" spans="1:56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</row>
    <row r="107" spans="1:56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</row>
    <row r="108" spans="1:56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</row>
    <row r="109" spans="1:56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</row>
    <row r="110" spans="1:56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</row>
    <row r="111" spans="1:56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</row>
  </sheetData>
  <mergeCells count="81">
    <mergeCell ref="X61:AD61"/>
    <mergeCell ref="X62:AD62"/>
    <mergeCell ref="X63:AD63"/>
    <mergeCell ref="C49:W49"/>
    <mergeCell ref="X49:AD49"/>
    <mergeCell ref="AF49:AZ49"/>
    <mergeCell ref="X50:AD50"/>
    <mergeCell ref="B51:B63"/>
    <mergeCell ref="X51:AD51"/>
    <mergeCell ref="AE51:AE63"/>
    <mergeCell ref="X52:AD52"/>
    <mergeCell ref="X53:AD53"/>
    <mergeCell ref="X54:AD54"/>
    <mergeCell ref="X55:AD55"/>
    <mergeCell ref="X56:AD56"/>
    <mergeCell ref="X57:AD57"/>
    <mergeCell ref="X58:AD58"/>
    <mergeCell ref="X59:AD59"/>
    <mergeCell ref="X60:AD60"/>
    <mergeCell ref="C47:W47"/>
    <mergeCell ref="X47:AD47"/>
    <mergeCell ref="AF47:AZ47"/>
    <mergeCell ref="C48:W48"/>
    <mergeCell ref="X48:AD48"/>
    <mergeCell ref="AF48:AZ48"/>
    <mergeCell ref="X32:AD32"/>
    <mergeCell ref="B33:B45"/>
    <mergeCell ref="X33:AD33"/>
    <mergeCell ref="AE33:AE45"/>
    <mergeCell ref="X34:AD34"/>
    <mergeCell ref="X35:AD35"/>
    <mergeCell ref="X36:AD36"/>
    <mergeCell ref="X37:AD37"/>
    <mergeCell ref="X38:AD38"/>
    <mergeCell ref="X39:AD39"/>
    <mergeCell ref="X40:AD40"/>
    <mergeCell ref="X41:AD41"/>
    <mergeCell ref="X42:AD42"/>
    <mergeCell ref="X43:AD43"/>
    <mergeCell ref="X44:AD44"/>
    <mergeCell ref="X45:AD45"/>
    <mergeCell ref="AF29:AZ29"/>
    <mergeCell ref="C30:W30"/>
    <mergeCell ref="X30:AD30"/>
    <mergeCell ref="AF30:AZ30"/>
    <mergeCell ref="C31:W31"/>
    <mergeCell ref="X31:AD31"/>
    <mergeCell ref="AF31:AZ31"/>
    <mergeCell ref="X25:AD25"/>
    <mergeCell ref="X26:AD26"/>
    <mergeCell ref="X27:AD27"/>
    <mergeCell ref="C29:W29"/>
    <mergeCell ref="X29:AD29"/>
    <mergeCell ref="C13:W13"/>
    <mergeCell ref="X13:AD13"/>
    <mergeCell ref="AF13:AZ13"/>
    <mergeCell ref="X14:AD14"/>
    <mergeCell ref="B15:B27"/>
    <mergeCell ref="X15:AD15"/>
    <mergeCell ref="AE15:AE27"/>
    <mergeCell ref="X16:AD16"/>
    <mergeCell ref="X17:AD17"/>
    <mergeCell ref="X18:AD18"/>
    <mergeCell ref="X19:AD19"/>
    <mergeCell ref="X20:AD20"/>
    <mergeCell ref="X21:AD21"/>
    <mergeCell ref="X22:AD22"/>
    <mergeCell ref="X23:AD23"/>
    <mergeCell ref="X24:AD24"/>
    <mergeCell ref="C11:W11"/>
    <mergeCell ref="X11:AD11"/>
    <mergeCell ref="AF11:AZ11"/>
    <mergeCell ref="C12:W12"/>
    <mergeCell ref="X12:AD12"/>
    <mergeCell ref="AF12:AZ12"/>
    <mergeCell ref="C8:W8"/>
    <mergeCell ref="X8:AE8"/>
    <mergeCell ref="AF8:AZ8"/>
    <mergeCell ref="C9:W9"/>
    <mergeCell ref="X9:AD9"/>
    <mergeCell ref="AF9:AZ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Price Calculator 89mm Excel 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89mm Excel Vertical Price List</dc:title>
  <dc:subject/>
  <dc:creator>Unknown Creator</dc:creator>
  <cp:keywords/>
  <dc:description/>
  <cp:lastModifiedBy>Dell</cp:lastModifiedBy>
  <dcterms:created xsi:type="dcterms:W3CDTF">2026-02-09T08:11:41Z</dcterms:created>
  <dcterms:modified xsi:type="dcterms:W3CDTF">2026-02-13T05:16:01Z</dcterms:modified>
  <cp:category/>
</cp:coreProperties>
</file>